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0" windowWidth="11715" windowHeight="6525" activeTab="0"/>
  </bookViews>
  <sheets>
    <sheet name="水理計算表（ﾍｰｾﾞﾝ・ｳｴｽﾄﾝ対応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岸和田市</author>
  </authors>
  <commentList>
    <comment ref="D13" authorId="0">
      <text>
        <r>
          <rPr>
            <sz val="9"/>
            <rFont val="ＭＳ Ｐゴシック"/>
            <family val="3"/>
          </rPr>
          <t>使用水量比</t>
        </r>
      </text>
    </comment>
    <comment ref="B13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F13" authorId="0">
      <text>
        <r>
          <rPr>
            <sz val="9"/>
            <rFont val="ＭＳ Ｐゴシック"/>
            <family val="3"/>
          </rPr>
          <t>戸数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J29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J23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J17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H13" authorId="0">
      <text>
        <r>
          <rPr>
            <sz val="9"/>
            <rFont val="ＭＳ Ｐゴシック"/>
            <family val="3"/>
          </rPr>
          <t>同時使用率</t>
        </r>
      </text>
    </comment>
    <comment ref="J32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J35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J38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J41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J44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J47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J50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d&gt;50　ヘーゼン
d&lt;=50 ウェストン
</t>
        </r>
      </text>
    </comment>
    <comment ref="D16" authorId="0">
      <text>
        <r>
          <rPr>
            <sz val="9"/>
            <rFont val="ＭＳ Ｐゴシック"/>
            <family val="3"/>
          </rPr>
          <t>使用水量比</t>
        </r>
      </text>
    </comment>
    <comment ref="F16" authorId="0">
      <text>
        <r>
          <rPr>
            <sz val="9"/>
            <rFont val="ＭＳ Ｐゴシック"/>
            <family val="3"/>
          </rPr>
          <t>戸数</t>
        </r>
      </text>
    </comment>
    <comment ref="D19" authorId="0">
      <text>
        <r>
          <rPr>
            <sz val="9"/>
            <rFont val="ＭＳ Ｐゴシック"/>
            <family val="3"/>
          </rPr>
          <t>使用水量比</t>
        </r>
      </text>
    </comment>
    <comment ref="F19" authorId="0">
      <text>
        <r>
          <rPr>
            <sz val="9"/>
            <rFont val="ＭＳ Ｐゴシック"/>
            <family val="3"/>
          </rPr>
          <t>戸数</t>
        </r>
      </text>
    </comment>
    <comment ref="D22" authorId="0">
      <text>
        <r>
          <rPr>
            <sz val="9"/>
            <rFont val="ＭＳ Ｐゴシック"/>
            <family val="3"/>
          </rPr>
          <t>使用水量比</t>
        </r>
      </text>
    </comment>
    <comment ref="F22" authorId="0">
      <text>
        <r>
          <rPr>
            <sz val="9"/>
            <rFont val="ＭＳ Ｐゴシック"/>
            <family val="3"/>
          </rPr>
          <t>戸数</t>
        </r>
      </text>
    </comment>
    <comment ref="D25" authorId="0">
      <text>
        <r>
          <rPr>
            <sz val="9"/>
            <rFont val="ＭＳ Ｐゴシック"/>
            <family val="3"/>
          </rPr>
          <t>使用水量比</t>
        </r>
      </text>
    </comment>
    <comment ref="F25" authorId="0">
      <text>
        <r>
          <rPr>
            <sz val="9"/>
            <rFont val="ＭＳ Ｐゴシック"/>
            <family val="3"/>
          </rPr>
          <t>戸数</t>
        </r>
      </text>
    </comment>
    <comment ref="D28" authorId="0">
      <text>
        <r>
          <rPr>
            <sz val="9"/>
            <rFont val="ＭＳ Ｐゴシック"/>
            <family val="3"/>
          </rPr>
          <t>使用水量比</t>
        </r>
      </text>
    </comment>
    <comment ref="F28" authorId="0">
      <text>
        <r>
          <rPr>
            <sz val="9"/>
            <rFont val="ＭＳ Ｐゴシック"/>
            <family val="3"/>
          </rPr>
          <t>戸数</t>
        </r>
      </text>
    </comment>
    <comment ref="D31" authorId="0">
      <text>
        <r>
          <rPr>
            <sz val="9"/>
            <rFont val="ＭＳ Ｐゴシック"/>
            <family val="3"/>
          </rPr>
          <t>使用水量比</t>
        </r>
      </text>
    </comment>
    <comment ref="F31" authorId="0">
      <text>
        <r>
          <rPr>
            <sz val="9"/>
            <rFont val="ＭＳ Ｐゴシック"/>
            <family val="3"/>
          </rPr>
          <t>戸数</t>
        </r>
      </text>
    </comment>
    <comment ref="D34" authorId="0">
      <text>
        <r>
          <rPr>
            <sz val="9"/>
            <rFont val="ＭＳ Ｐゴシック"/>
            <family val="3"/>
          </rPr>
          <t>使用水量比</t>
        </r>
      </text>
    </comment>
    <comment ref="F34" authorId="0">
      <text>
        <r>
          <rPr>
            <sz val="9"/>
            <rFont val="ＭＳ Ｐゴシック"/>
            <family val="3"/>
          </rPr>
          <t>戸数</t>
        </r>
      </text>
    </comment>
    <comment ref="D37" authorId="0">
      <text>
        <r>
          <rPr>
            <sz val="9"/>
            <rFont val="ＭＳ Ｐゴシック"/>
            <family val="3"/>
          </rPr>
          <t>使用水量比</t>
        </r>
      </text>
    </comment>
    <comment ref="F37" authorId="0">
      <text>
        <r>
          <rPr>
            <sz val="9"/>
            <rFont val="ＭＳ Ｐゴシック"/>
            <family val="3"/>
          </rPr>
          <t>戸数</t>
        </r>
      </text>
    </comment>
    <comment ref="D40" authorId="0">
      <text>
        <r>
          <rPr>
            <sz val="9"/>
            <rFont val="ＭＳ Ｐゴシック"/>
            <family val="3"/>
          </rPr>
          <t>使用水量比</t>
        </r>
      </text>
    </comment>
    <comment ref="F40" authorId="0">
      <text>
        <r>
          <rPr>
            <sz val="9"/>
            <rFont val="ＭＳ Ｐゴシック"/>
            <family val="3"/>
          </rPr>
          <t>戸数</t>
        </r>
      </text>
    </comment>
    <comment ref="D43" authorId="0">
      <text>
        <r>
          <rPr>
            <sz val="9"/>
            <rFont val="ＭＳ Ｐゴシック"/>
            <family val="3"/>
          </rPr>
          <t>使用水量比</t>
        </r>
      </text>
    </comment>
    <comment ref="F43" authorId="0">
      <text>
        <r>
          <rPr>
            <sz val="9"/>
            <rFont val="ＭＳ Ｐゴシック"/>
            <family val="3"/>
          </rPr>
          <t>戸数</t>
        </r>
      </text>
    </comment>
    <comment ref="D46" authorId="0">
      <text>
        <r>
          <rPr>
            <sz val="9"/>
            <rFont val="ＭＳ Ｐゴシック"/>
            <family val="3"/>
          </rPr>
          <t>使用水量比</t>
        </r>
      </text>
    </comment>
    <comment ref="F46" authorId="0">
      <text>
        <r>
          <rPr>
            <sz val="9"/>
            <rFont val="ＭＳ Ｐゴシック"/>
            <family val="3"/>
          </rPr>
          <t>戸数</t>
        </r>
      </text>
    </comment>
    <comment ref="D49" authorId="0">
      <text>
        <r>
          <rPr>
            <sz val="9"/>
            <rFont val="ＭＳ Ｐゴシック"/>
            <family val="3"/>
          </rPr>
          <t>使用水量比</t>
        </r>
      </text>
    </comment>
    <comment ref="F49" authorId="0">
      <text>
        <r>
          <rPr>
            <sz val="9"/>
            <rFont val="ＭＳ Ｐゴシック"/>
            <family val="3"/>
          </rPr>
          <t>戸数</t>
        </r>
      </text>
    </comment>
    <comment ref="D52" authorId="0">
      <text>
        <r>
          <rPr>
            <sz val="9"/>
            <rFont val="ＭＳ Ｐゴシック"/>
            <family val="3"/>
          </rPr>
          <t>使用水量比</t>
        </r>
      </text>
    </comment>
    <comment ref="F52" authorId="0">
      <text>
        <r>
          <rPr>
            <sz val="9"/>
            <rFont val="ＭＳ Ｐゴシック"/>
            <family val="3"/>
          </rPr>
          <t>戸数</t>
        </r>
      </text>
    </comment>
    <comment ref="B16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B19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B22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B25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B28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B31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B34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B37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B40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B43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B46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B49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B52" authorId="0">
      <text>
        <r>
          <rPr>
            <sz val="9"/>
            <rFont val="ＭＳ Ｐゴシック"/>
            <family val="3"/>
          </rPr>
          <t>標準使用水量
13mm : 0.28
20mm : 0.67
25mm : 1.08</t>
        </r>
      </text>
    </comment>
    <comment ref="H16" authorId="0">
      <text>
        <r>
          <rPr>
            <sz val="9"/>
            <rFont val="ＭＳ Ｐゴシック"/>
            <family val="3"/>
          </rPr>
          <t>同時使用率</t>
        </r>
      </text>
    </comment>
    <comment ref="H19" authorId="0">
      <text>
        <r>
          <rPr>
            <sz val="9"/>
            <rFont val="ＭＳ Ｐゴシック"/>
            <family val="3"/>
          </rPr>
          <t>同時使用率</t>
        </r>
      </text>
    </comment>
    <comment ref="H22" authorId="0">
      <text>
        <r>
          <rPr>
            <sz val="9"/>
            <rFont val="ＭＳ Ｐゴシック"/>
            <family val="3"/>
          </rPr>
          <t>同時使用率</t>
        </r>
      </text>
    </comment>
    <comment ref="H25" authorId="0">
      <text>
        <r>
          <rPr>
            <sz val="9"/>
            <rFont val="ＭＳ Ｐゴシック"/>
            <family val="3"/>
          </rPr>
          <t>同時使用率</t>
        </r>
      </text>
    </comment>
    <comment ref="H28" authorId="0">
      <text>
        <r>
          <rPr>
            <sz val="9"/>
            <rFont val="ＭＳ Ｐゴシック"/>
            <family val="3"/>
          </rPr>
          <t>同時使用率</t>
        </r>
      </text>
    </comment>
    <comment ref="H31" authorId="0">
      <text>
        <r>
          <rPr>
            <sz val="9"/>
            <rFont val="ＭＳ Ｐゴシック"/>
            <family val="3"/>
          </rPr>
          <t>同時使用率</t>
        </r>
      </text>
    </comment>
    <comment ref="H34" authorId="0">
      <text>
        <r>
          <rPr>
            <sz val="9"/>
            <rFont val="ＭＳ Ｐゴシック"/>
            <family val="3"/>
          </rPr>
          <t>同時使用率</t>
        </r>
      </text>
    </comment>
    <comment ref="H37" authorId="0">
      <text>
        <r>
          <rPr>
            <sz val="9"/>
            <rFont val="ＭＳ Ｐゴシック"/>
            <family val="3"/>
          </rPr>
          <t>同時使用率</t>
        </r>
      </text>
    </comment>
    <comment ref="H40" authorId="0">
      <text>
        <r>
          <rPr>
            <sz val="9"/>
            <rFont val="ＭＳ Ｐゴシック"/>
            <family val="3"/>
          </rPr>
          <t>同時使用率</t>
        </r>
      </text>
    </comment>
    <comment ref="H43" authorId="0">
      <text>
        <r>
          <rPr>
            <sz val="9"/>
            <rFont val="ＭＳ Ｐゴシック"/>
            <family val="3"/>
          </rPr>
          <t>同時使用率</t>
        </r>
      </text>
    </comment>
    <comment ref="H46" authorId="0">
      <text>
        <r>
          <rPr>
            <sz val="9"/>
            <rFont val="ＭＳ Ｐゴシック"/>
            <family val="3"/>
          </rPr>
          <t>同時使用率</t>
        </r>
      </text>
    </comment>
    <comment ref="H49" authorId="0">
      <text>
        <r>
          <rPr>
            <sz val="9"/>
            <rFont val="ＭＳ Ｐゴシック"/>
            <family val="3"/>
          </rPr>
          <t>同時使用率</t>
        </r>
      </text>
    </comment>
    <comment ref="H52" authorId="0">
      <text>
        <r>
          <rPr>
            <sz val="9"/>
            <rFont val="ＭＳ Ｐゴシック"/>
            <family val="3"/>
          </rPr>
          <t>同時使用率</t>
        </r>
      </text>
    </comment>
  </commentList>
</comments>
</file>

<file path=xl/sharedStrings.xml><?xml version="1.0" encoding="utf-8"?>
<sst xmlns="http://schemas.openxmlformats.org/spreadsheetml/2006/main" count="190" uniqueCount="41">
  <si>
    <t>合計</t>
  </si>
  <si>
    <t>エルボ</t>
  </si>
  <si>
    <t>チーズ</t>
  </si>
  <si>
    <t>実延長</t>
  </si>
  <si>
    <t>止水栓</t>
  </si>
  <si>
    <t>ｽﾘｰｽ弁</t>
  </si>
  <si>
    <t>逆止弁</t>
  </si>
  <si>
    <t>給水栓</t>
  </si>
  <si>
    <t>９０°</t>
  </si>
  <si>
    <t>４５°</t>
  </si>
  <si>
    <t>分流</t>
  </si>
  <si>
    <t>直流</t>
  </si>
  <si>
    <t>異径接合</t>
  </si>
  <si>
    <t>×</t>
  </si>
  <si>
    <t>～</t>
  </si>
  <si>
    <t>=</t>
  </si>
  <si>
    <t>/</t>
  </si>
  <si>
    <t>(</t>
  </si>
  <si>
    <t>栓)</t>
  </si>
  <si>
    <t>口径決定の条件、有効水頭＞損失水頭を満たし、かつ経済的口径とする。</t>
  </si>
  <si>
    <t>計</t>
  </si>
  <si>
    <t>有効水頭：</t>
  </si>
  <si>
    <t>-</t>
  </si>
  <si>
    <t>損失水頭：</t>
  </si>
  <si>
    <t>ｻﾄﾞﾙ分水栓</t>
  </si>
  <si>
    <t>末端水頭：</t>
  </si>
  <si>
    <t>×</t>
  </si>
  <si>
    <t>ﾒｰﾀｰ</t>
  </si>
  <si>
    <t>m</t>
  </si>
  <si>
    <t>　ソケット等の損失を換算延長の
　５～１０%考慮する。</t>
  </si>
  <si>
    <t>区間</t>
  </si>
  <si>
    <t>高低差</t>
  </si>
  <si>
    <t>（配水管の埋設深度＋最も高い水栓の高さ）</t>
  </si>
  <si>
    <t>計　算　表</t>
  </si>
  <si>
    <t>換算延長(m)</t>
  </si>
  <si>
    <t>動水勾配
(‰)</t>
  </si>
  <si>
    <t>流量
（㍑/秒)</t>
  </si>
  <si>
    <t>仮定口径
(mm)</t>
  </si>
  <si>
    <t>直管換算長
 (単位m)</t>
  </si>
  <si>
    <t>損失水頭
(m)</t>
  </si>
  <si>
    <t>決定口径
(mm)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</si>
</sst>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00000000_);\(0.0000000000\)"/>
    <numFmt numFmtId="179" formatCode="0.0000000000000_ "/>
    <numFmt numFmtId="180" formatCode="0.00000000000000000000_ "/>
    <numFmt numFmtId="181" formatCode="[&lt;=999]000;000\-00"/>
    <numFmt numFmtId="182" formatCode="0.000_);[Red]\(0.000\)"/>
    <numFmt numFmtId="183" formatCode="0_);\(0\)"/>
    <numFmt numFmtId="184" formatCode="0.00_ "/>
    <numFmt numFmtId="185" formatCode="0.0_ "/>
    <numFmt numFmtId="186" formatCode="\(#\)"/>
    <numFmt numFmtId="187" formatCode="0.0_);\(0.0\)"/>
    <numFmt numFmtId="188" formatCode="0.00_);\(0.00\)"/>
    <numFmt numFmtId="189" formatCode="0.000_);\(0.000\)"/>
    <numFmt numFmtId="190" formatCode="0.0000_);\(0.0000\)"/>
    <numFmt numFmtId="191" formatCode="0.00000_);\(0.00000\)"/>
    <numFmt numFmtId="192" formatCode="0.000000_);\(0.000000\)"/>
    <numFmt numFmtId="193" formatCode="0.0000000_);\(0.0000000\)"/>
    <numFmt numFmtId="194" formatCode="0.00000000_);\(0.00000000\)"/>
    <numFmt numFmtId="195" formatCode="0.000000000_);\(0.000000000\)"/>
    <numFmt numFmtId="196" formatCode="0.00000000000_);\(0.00000000000\)"/>
    <numFmt numFmtId="197" formatCode="0.000000000000_);\(0.000000000000\)"/>
    <numFmt numFmtId="198" formatCode="0.0000000000000_);\(0.0000000000000\)"/>
    <numFmt numFmtId="199" formatCode="0.00000000000000_);\(0.00000000000000\)"/>
    <numFmt numFmtId="200" formatCode="0.000000000000000_);\(0.000000000000000\)"/>
    <numFmt numFmtId="201" formatCode="0.0000000000000000_);\(0.0000000000000000\)"/>
    <numFmt numFmtId="202" formatCode="0.00000000000000000_);\(0.00000000000000000\)"/>
    <numFmt numFmtId="203" formatCode="0.000000000000000000_);\(0.000000000000000000\)"/>
    <numFmt numFmtId="204" formatCode="0.0000000000000000000_);\(0.0000000000000000000\)"/>
    <numFmt numFmtId="205" formatCode="0.00000000000000000000_);\(0.00000000000000000000\)"/>
    <numFmt numFmtId="206" formatCode="0.000000000000000000000_);\(0.000000000000000000000\)"/>
    <numFmt numFmtId="207" formatCode="0.0000000000000000000000_);\(0.0000000000000000000000\)"/>
    <numFmt numFmtId="208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82" fontId="0" fillId="0" borderId="0" xfId="0" applyNumberFormat="1" applyBorder="1" applyAlignment="1" quotePrefix="1">
      <alignment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Continuous" vertical="center"/>
      <protection locked="0"/>
    </xf>
    <xf numFmtId="0" fontId="3" fillId="0" borderId="12" xfId="0" applyFont="1" applyBorder="1" applyAlignment="1" applyProtection="1">
      <alignment horizontal="centerContinuous" vertical="center"/>
      <protection locked="0"/>
    </xf>
    <xf numFmtId="0" fontId="3" fillId="0" borderId="13" xfId="0" applyFont="1" applyBorder="1" applyAlignment="1" applyProtection="1">
      <alignment horizontal="centerContinuous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Continuous" vertical="center"/>
      <protection locked="0"/>
    </xf>
    <xf numFmtId="0" fontId="3" fillId="0" borderId="15" xfId="0" applyFont="1" applyBorder="1" applyAlignment="1" applyProtection="1">
      <alignment horizontal="centerContinuous" vertical="center"/>
      <protection locked="0"/>
    </xf>
    <xf numFmtId="0" fontId="3" fillId="0" borderId="16" xfId="0" applyFont="1" applyBorder="1" applyAlignment="1" applyProtection="1">
      <alignment horizontal="centerContinuous" vertical="center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1" borderId="18" xfId="0" applyFont="1" applyFill="1" applyBorder="1" applyAlignment="1" applyProtection="1" quotePrefix="1">
      <alignment horizontal="left" vertical="center"/>
      <protection/>
    </xf>
    <xf numFmtId="0" fontId="3" fillId="0" borderId="19" xfId="0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1" borderId="17" xfId="0" applyNumberFormat="1" applyFont="1" applyFill="1" applyBorder="1" applyAlignment="1" applyProtection="1">
      <alignment horizontal="right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 textRotation="90"/>
      <protection locked="0"/>
    </xf>
    <xf numFmtId="0" fontId="3" fillId="0" borderId="21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1" borderId="18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183" fontId="3" fillId="1" borderId="2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1" borderId="22" xfId="0" applyNumberFormat="1" applyFont="1" applyFill="1" applyBorder="1" applyAlignment="1" applyProtection="1" quotePrefix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right" vertical="center"/>
      <protection/>
    </xf>
    <xf numFmtId="184" fontId="3" fillId="1" borderId="22" xfId="0" applyNumberFormat="1" applyFont="1" applyFill="1" applyBorder="1" applyAlignment="1" applyProtection="1">
      <alignment vertical="center"/>
      <protection/>
    </xf>
    <xf numFmtId="0" fontId="3" fillId="1" borderId="2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 locked="0"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186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184" fontId="3" fillId="1" borderId="2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176" fontId="3" fillId="0" borderId="17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Continuous"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176" fontId="3" fillId="0" borderId="21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186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184" fontId="3" fillId="0" borderId="0" xfId="0" applyNumberFormat="1" applyFont="1" applyAlignment="1">
      <alignment/>
    </xf>
    <xf numFmtId="186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1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textRotation="255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208" fontId="3" fillId="0" borderId="14" xfId="0" applyNumberFormat="1" applyFont="1" applyFill="1" applyBorder="1" applyAlignment="1" applyProtection="1">
      <alignment horizontal="center" vertical="center"/>
      <protection/>
    </xf>
    <xf numFmtId="184" fontId="3" fillId="0" borderId="17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176" fontId="3" fillId="0" borderId="20" xfId="0" applyNumberFormat="1" applyFont="1" applyBorder="1" applyAlignment="1" applyProtection="1">
      <alignment horizontal="center" vertical="center"/>
      <protection locked="0"/>
    </xf>
    <xf numFmtId="176" fontId="3" fillId="0" borderId="21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3" fillId="33" borderId="25" xfId="0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9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00390625" defaultRowHeight="13.5"/>
  <cols>
    <col min="1" max="2" width="5.625" style="0" customWidth="1"/>
    <col min="3" max="3" width="2.125" style="0" customWidth="1"/>
    <col min="4" max="4" width="4.625" style="0" customWidth="1"/>
    <col min="5" max="5" width="2.125" style="0" hidden="1" customWidth="1"/>
    <col min="6" max="6" width="4.625" style="0" hidden="1" customWidth="1"/>
    <col min="7" max="7" width="2.125" style="0" customWidth="1"/>
    <col min="8" max="8" width="5.625" style="0" customWidth="1"/>
    <col min="9" max="9" width="9.625" style="0" customWidth="1"/>
    <col min="10" max="10" width="5.625" style="5" customWidth="1"/>
    <col min="11" max="11" width="1.625" style="0" customWidth="1"/>
    <col min="12" max="12" width="5.625" style="7" customWidth="1"/>
    <col min="13" max="24" width="8.625" style="0" customWidth="1"/>
    <col min="25" max="25" width="7.625" style="8" customWidth="1"/>
    <col min="26" max="26" width="7.625" style="7" customWidth="1"/>
    <col min="27" max="28" width="10.00390625" style="0" customWidth="1"/>
  </cols>
  <sheetData>
    <row r="1" spans="1:28" s="9" customFormat="1" ht="19.5" customHeight="1">
      <c r="A1" s="11" t="s">
        <v>33</v>
      </c>
      <c r="B1" s="12"/>
      <c r="C1" s="12"/>
      <c r="D1" s="12"/>
      <c r="E1" s="12"/>
      <c r="F1" s="12"/>
      <c r="G1" s="12"/>
      <c r="H1" s="12"/>
      <c r="I1" s="12"/>
      <c r="J1" s="13"/>
      <c r="K1" s="12"/>
      <c r="L1" s="14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5"/>
      <c r="Z1" s="14"/>
      <c r="AA1" s="10"/>
      <c r="AB1" s="12"/>
    </row>
    <row r="2" spans="1:51" ht="15" customHeight="1">
      <c r="A2" s="20"/>
      <c r="B2" s="119" t="s">
        <v>36</v>
      </c>
      <c r="C2" s="108"/>
      <c r="D2" s="108"/>
      <c r="E2" s="108"/>
      <c r="F2" s="108"/>
      <c r="G2" s="108"/>
      <c r="H2" s="109"/>
      <c r="I2" s="126" t="s">
        <v>37</v>
      </c>
      <c r="J2" s="110" t="s">
        <v>35</v>
      </c>
      <c r="K2" s="111"/>
      <c r="L2" s="112"/>
      <c r="M2" s="107" t="s">
        <v>34</v>
      </c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  <c r="AA2" s="126" t="s">
        <v>39</v>
      </c>
      <c r="AB2" s="126" t="s">
        <v>40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 customHeight="1">
      <c r="A3" s="96" t="s">
        <v>30</v>
      </c>
      <c r="B3" s="120"/>
      <c r="C3" s="121"/>
      <c r="D3" s="121"/>
      <c r="E3" s="121"/>
      <c r="F3" s="121"/>
      <c r="G3" s="121"/>
      <c r="H3" s="122"/>
      <c r="I3" s="127"/>
      <c r="J3" s="113"/>
      <c r="K3" s="114"/>
      <c r="L3" s="115"/>
      <c r="M3" s="22"/>
      <c r="N3" s="23"/>
      <c r="O3" s="23"/>
      <c r="P3" s="23"/>
      <c r="Q3" s="23"/>
      <c r="R3" s="23"/>
      <c r="S3" s="23"/>
      <c r="T3" s="28" t="s">
        <v>1</v>
      </c>
      <c r="U3" s="21"/>
      <c r="V3" s="28" t="s">
        <v>2</v>
      </c>
      <c r="W3" s="29"/>
      <c r="X3" s="24"/>
      <c r="Y3" s="25"/>
      <c r="Z3" s="26"/>
      <c r="AA3" s="127"/>
      <c r="AB3" s="127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 customHeight="1">
      <c r="A4" s="24"/>
      <c r="B4" s="123"/>
      <c r="C4" s="124"/>
      <c r="D4" s="124"/>
      <c r="E4" s="124"/>
      <c r="F4" s="124"/>
      <c r="G4" s="124"/>
      <c r="H4" s="125"/>
      <c r="I4" s="128"/>
      <c r="J4" s="116"/>
      <c r="K4" s="117"/>
      <c r="L4" s="118"/>
      <c r="M4" s="27" t="s">
        <v>3</v>
      </c>
      <c r="N4" s="83" t="s">
        <v>24</v>
      </c>
      <c r="O4" s="27" t="s">
        <v>4</v>
      </c>
      <c r="P4" s="27" t="s">
        <v>27</v>
      </c>
      <c r="Q4" s="27" t="s">
        <v>5</v>
      </c>
      <c r="R4" s="27" t="s">
        <v>6</v>
      </c>
      <c r="S4" s="27" t="s">
        <v>7</v>
      </c>
      <c r="T4" s="27" t="s">
        <v>8</v>
      </c>
      <c r="U4" s="27" t="s">
        <v>9</v>
      </c>
      <c r="V4" s="27" t="s">
        <v>10</v>
      </c>
      <c r="W4" s="27" t="s">
        <v>11</v>
      </c>
      <c r="X4" s="27" t="s">
        <v>12</v>
      </c>
      <c r="Y4" s="28" t="s">
        <v>0</v>
      </c>
      <c r="Z4" s="29"/>
      <c r="AA4" s="128"/>
      <c r="AB4" s="12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" customHeight="1">
      <c r="A5" s="119" t="s">
        <v>38</v>
      </c>
      <c r="B5" s="132"/>
      <c r="C5" s="132"/>
      <c r="D5" s="132"/>
      <c r="E5" s="132"/>
      <c r="F5" s="132"/>
      <c r="G5" s="132"/>
      <c r="H5" s="133"/>
      <c r="I5" s="27">
        <v>13</v>
      </c>
      <c r="J5" s="30"/>
      <c r="K5" s="21"/>
      <c r="L5" s="31"/>
      <c r="M5" s="32"/>
      <c r="N5" s="32"/>
      <c r="O5" s="32"/>
      <c r="P5" s="32"/>
      <c r="Q5" s="32">
        <v>0.5</v>
      </c>
      <c r="R5" s="32">
        <v>4.5</v>
      </c>
      <c r="S5" s="32">
        <v>3</v>
      </c>
      <c r="T5" s="32">
        <v>0.6</v>
      </c>
      <c r="U5" s="32">
        <v>0.36</v>
      </c>
      <c r="V5" s="32">
        <v>0.9</v>
      </c>
      <c r="W5" s="32">
        <v>0.18</v>
      </c>
      <c r="X5" s="32">
        <v>1</v>
      </c>
      <c r="Y5" s="140" t="s">
        <v>29</v>
      </c>
      <c r="Z5" s="141"/>
      <c r="AA5" s="141"/>
      <c r="AB5" s="142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" customHeight="1">
      <c r="A6" s="134"/>
      <c r="B6" s="135"/>
      <c r="C6" s="135"/>
      <c r="D6" s="135"/>
      <c r="E6" s="135"/>
      <c r="F6" s="135"/>
      <c r="G6" s="135"/>
      <c r="H6" s="136"/>
      <c r="I6" s="27">
        <v>20</v>
      </c>
      <c r="J6" s="30"/>
      <c r="K6" s="21"/>
      <c r="L6" s="31"/>
      <c r="M6" s="32"/>
      <c r="N6" s="32">
        <v>2</v>
      </c>
      <c r="O6" s="32">
        <v>8</v>
      </c>
      <c r="P6" s="32">
        <v>11</v>
      </c>
      <c r="Q6" s="32">
        <v>0.5</v>
      </c>
      <c r="R6" s="32">
        <v>6</v>
      </c>
      <c r="S6" s="32">
        <v>8</v>
      </c>
      <c r="T6" s="32">
        <v>0.75</v>
      </c>
      <c r="U6" s="32">
        <v>0.45</v>
      </c>
      <c r="V6" s="32">
        <v>1.2</v>
      </c>
      <c r="W6" s="32">
        <v>0.24</v>
      </c>
      <c r="X6" s="32">
        <v>1</v>
      </c>
      <c r="Y6" s="143"/>
      <c r="Z6" s="144"/>
      <c r="AA6" s="144"/>
      <c r="AB6" s="145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" customHeight="1">
      <c r="A7" s="134"/>
      <c r="B7" s="135"/>
      <c r="C7" s="135"/>
      <c r="D7" s="135"/>
      <c r="E7" s="135"/>
      <c r="F7" s="135"/>
      <c r="G7" s="135"/>
      <c r="H7" s="136"/>
      <c r="I7" s="27">
        <v>25</v>
      </c>
      <c r="J7" s="30"/>
      <c r="K7" s="21"/>
      <c r="L7" s="31"/>
      <c r="M7" s="32"/>
      <c r="N7" s="32">
        <v>3</v>
      </c>
      <c r="O7" s="32">
        <v>10</v>
      </c>
      <c r="P7" s="32">
        <v>15</v>
      </c>
      <c r="Q7" s="32">
        <v>0.5</v>
      </c>
      <c r="R7" s="32">
        <v>7.5</v>
      </c>
      <c r="S7" s="32">
        <v>8</v>
      </c>
      <c r="T7" s="32">
        <v>0.9</v>
      </c>
      <c r="U7" s="32">
        <v>0.54</v>
      </c>
      <c r="V7" s="32">
        <v>1.5</v>
      </c>
      <c r="W7" s="32">
        <v>0.27</v>
      </c>
      <c r="X7" s="32">
        <v>1</v>
      </c>
      <c r="Y7" s="143"/>
      <c r="Z7" s="144"/>
      <c r="AA7" s="144"/>
      <c r="AB7" s="145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" customHeight="1">
      <c r="A8" s="134"/>
      <c r="B8" s="135"/>
      <c r="C8" s="135"/>
      <c r="D8" s="135"/>
      <c r="E8" s="135"/>
      <c r="F8" s="135"/>
      <c r="G8" s="135"/>
      <c r="H8" s="136"/>
      <c r="I8" s="27">
        <v>30</v>
      </c>
      <c r="J8" s="30"/>
      <c r="K8" s="21"/>
      <c r="L8" s="31"/>
      <c r="M8" s="32"/>
      <c r="N8" s="32">
        <v>3</v>
      </c>
      <c r="O8" s="32">
        <v>20</v>
      </c>
      <c r="P8" s="32">
        <v>24</v>
      </c>
      <c r="Q8" s="32">
        <v>0.5</v>
      </c>
      <c r="R8" s="32">
        <v>10.5</v>
      </c>
      <c r="S8" s="32"/>
      <c r="T8" s="32">
        <v>1.2</v>
      </c>
      <c r="U8" s="32">
        <v>0.72</v>
      </c>
      <c r="V8" s="32">
        <v>1.8</v>
      </c>
      <c r="W8" s="32">
        <v>0.36</v>
      </c>
      <c r="X8" s="32">
        <v>1</v>
      </c>
      <c r="Y8" s="143"/>
      <c r="Z8" s="144"/>
      <c r="AA8" s="144"/>
      <c r="AB8" s="145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" customHeight="1">
      <c r="A9" s="134"/>
      <c r="B9" s="135"/>
      <c r="C9" s="135"/>
      <c r="D9" s="135"/>
      <c r="E9" s="135"/>
      <c r="F9" s="135"/>
      <c r="G9" s="135"/>
      <c r="H9" s="136"/>
      <c r="I9" s="27">
        <v>40</v>
      </c>
      <c r="J9" s="30"/>
      <c r="K9" s="21"/>
      <c r="L9" s="31"/>
      <c r="M9" s="32"/>
      <c r="N9" s="32">
        <v>3</v>
      </c>
      <c r="O9" s="32">
        <v>25</v>
      </c>
      <c r="P9" s="32">
        <v>26</v>
      </c>
      <c r="Q9" s="32">
        <v>0.5</v>
      </c>
      <c r="R9" s="32">
        <v>13.5</v>
      </c>
      <c r="S9" s="32"/>
      <c r="T9" s="32">
        <v>1.5</v>
      </c>
      <c r="U9" s="32">
        <v>0.92</v>
      </c>
      <c r="V9" s="32">
        <v>2.1</v>
      </c>
      <c r="W9" s="32">
        <v>0.45</v>
      </c>
      <c r="X9" s="32">
        <v>1</v>
      </c>
      <c r="Y9" s="143"/>
      <c r="Z9" s="144"/>
      <c r="AA9" s="144"/>
      <c r="AB9" s="145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" customHeight="1">
      <c r="A10" s="134"/>
      <c r="B10" s="135"/>
      <c r="C10" s="135"/>
      <c r="D10" s="135"/>
      <c r="E10" s="135"/>
      <c r="F10" s="135"/>
      <c r="G10" s="135"/>
      <c r="H10" s="136"/>
      <c r="I10" s="27">
        <v>50</v>
      </c>
      <c r="J10" s="30"/>
      <c r="K10" s="89"/>
      <c r="L10" s="90"/>
      <c r="M10" s="32"/>
      <c r="N10" s="32">
        <v>3</v>
      </c>
      <c r="O10" s="32">
        <v>30</v>
      </c>
      <c r="P10" s="32">
        <v>35</v>
      </c>
      <c r="Q10" s="104">
        <v>0.5</v>
      </c>
      <c r="R10" s="104">
        <v>16.5</v>
      </c>
      <c r="S10" s="104"/>
      <c r="T10" s="105">
        <v>2.1</v>
      </c>
      <c r="U10" s="105">
        <v>1.2</v>
      </c>
      <c r="V10" s="105">
        <v>3</v>
      </c>
      <c r="W10" s="105">
        <v>0.6</v>
      </c>
      <c r="X10" s="104">
        <v>1</v>
      </c>
      <c r="Y10" s="143"/>
      <c r="Z10" s="144"/>
      <c r="AA10" s="144"/>
      <c r="AB10" s="145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" customHeight="1">
      <c r="A11" s="134"/>
      <c r="B11" s="135"/>
      <c r="C11" s="135"/>
      <c r="D11" s="135"/>
      <c r="E11" s="135"/>
      <c r="F11" s="135"/>
      <c r="G11" s="135"/>
      <c r="H11" s="136"/>
      <c r="I11" s="27">
        <v>75</v>
      </c>
      <c r="J11" s="30"/>
      <c r="K11" s="89"/>
      <c r="L11" s="31"/>
      <c r="M11" s="32"/>
      <c r="N11" s="32"/>
      <c r="O11" s="32"/>
      <c r="P11" s="32"/>
      <c r="Q11" s="104">
        <v>0.5</v>
      </c>
      <c r="R11" s="104"/>
      <c r="S11" s="104"/>
      <c r="T11" s="105">
        <v>3</v>
      </c>
      <c r="U11" s="105">
        <v>1.8</v>
      </c>
      <c r="V11" s="105">
        <v>4.5</v>
      </c>
      <c r="W11" s="105">
        <v>0.9</v>
      </c>
      <c r="X11" s="104">
        <v>1</v>
      </c>
      <c r="Y11" s="143"/>
      <c r="Z11" s="144"/>
      <c r="AA11" s="144"/>
      <c r="AB11" s="145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" customHeight="1">
      <c r="A12" s="137"/>
      <c r="B12" s="138"/>
      <c r="C12" s="138"/>
      <c r="D12" s="138"/>
      <c r="E12" s="138"/>
      <c r="F12" s="138"/>
      <c r="G12" s="138"/>
      <c r="H12" s="139"/>
      <c r="I12" s="27">
        <v>100</v>
      </c>
      <c r="J12" s="30"/>
      <c r="K12" s="89"/>
      <c r="L12" s="31"/>
      <c r="M12" s="32"/>
      <c r="N12" s="32"/>
      <c r="O12" s="32"/>
      <c r="P12" s="32"/>
      <c r="Q12" s="104">
        <v>0.5</v>
      </c>
      <c r="R12" s="104"/>
      <c r="S12" s="104"/>
      <c r="T12" s="105">
        <v>4.2</v>
      </c>
      <c r="U12" s="105">
        <v>2.4</v>
      </c>
      <c r="V12" s="105">
        <v>6.3</v>
      </c>
      <c r="W12" s="105">
        <v>1.2</v>
      </c>
      <c r="X12" s="104">
        <v>1</v>
      </c>
      <c r="Y12" s="146"/>
      <c r="Z12" s="147"/>
      <c r="AA12" s="147"/>
      <c r="AB12" s="148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" customHeight="1">
      <c r="A13" s="97"/>
      <c r="B13" s="46">
        <v>0.28</v>
      </c>
      <c r="C13" s="47" t="s">
        <v>13</v>
      </c>
      <c r="D13" s="94">
        <f>IF(D15="","",IF(D15&gt;7,D15/10+2,IF(D15&gt;4,(D15-4)/5+2,IF(D15&gt;1,(D15-1)*0.3+1.1,1))))</f>
      </c>
      <c r="E13" s="47" t="s">
        <v>26</v>
      </c>
      <c r="F13" s="94">
        <f>IF(F15="","",F15)</f>
        <v>1</v>
      </c>
      <c r="G13" s="47" t="s">
        <v>13</v>
      </c>
      <c r="H13" s="36">
        <f>IF(D15="","",IF(F13&lt;4,1,IF(F13&lt;11,0.9,IF(F13&lt;21,0.8,IF(F13&lt;31,0.7,IF(F13&lt;41,0.65,IF(F13&lt;61,0.6,IF(F13&lt;81,0.55,0.5))))))))</f>
      </c>
      <c r="I13" s="84"/>
      <c r="J13" s="85"/>
      <c r="K13" s="51"/>
      <c r="L13" s="86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42">
        <f>IF(B13="","",SUM(M14:X14))</f>
        <v>0</v>
      </c>
      <c r="Z13" s="52"/>
      <c r="AA13" s="88"/>
      <c r="AB13" s="88"/>
      <c r="AC13" s="1"/>
      <c r="AD13" s="4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" customHeight="1">
      <c r="A14" s="95" t="s">
        <v>14</v>
      </c>
      <c r="B14" s="46"/>
      <c r="D14" s="47"/>
      <c r="E14" s="47"/>
      <c r="F14" s="47"/>
      <c r="G14" s="47" t="s">
        <v>15</v>
      </c>
      <c r="H14" s="48">
        <f>IF(D15="","",B13*D13*F13*H13)</f>
      </c>
      <c r="I14" s="101"/>
      <c r="J14" s="50">
        <f>IF(I14="","",IF(I14&gt;50,ROUND((10.666*140^-1.85*(I14/1000)^-4.87*(H14/1000)^1.85)*1000,-1),ROUND((0.0126+(0.01739-0.1087*I14/1000)/(SQRT(H14/1000/((I14/1000/2)^2*PI()))))/I14*1000*(H14/1000/((I14/1000/2)^2*PI()))^2/2/9.8*1000,-1)))</f>
      </c>
      <c r="K14" s="51" t="s">
        <v>16</v>
      </c>
      <c r="L14" s="52">
        <v>1000</v>
      </c>
      <c r="M14" s="102"/>
      <c r="N14" s="54">
        <f>IF(N15="","",LOOKUP($I14,$I$5:$I$12,N$5:N$12)*N15)</f>
      </c>
      <c r="O14" s="54">
        <f aca="true" t="shared" si="0" ref="O14:X14">IF(O15="","",LOOKUP($I14,$I$5:$I$12,O$5:O$12)*O15)</f>
      </c>
      <c r="P14" s="54">
        <f t="shared" si="0"/>
      </c>
      <c r="Q14" s="54">
        <f t="shared" si="0"/>
      </c>
      <c r="R14" s="54">
        <f t="shared" si="0"/>
      </c>
      <c r="S14" s="54">
        <f t="shared" si="0"/>
      </c>
      <c r="T14" s="54">
        <f t="shared" si="0"/>
      </c>
      <c r="U14" s="54">
        <f t="shared" si="0"/>
      </c>
      <c r="V14" s="54">
        <f t="shared" si="0"/>
      </c>
      <c r="W14" s="54">
        <f t="shared" si="0"/>
      </c>
      <c r="X14" s="54">
        <f t="shared" si="0"/>
      </c>
      <c r="Y14" s="55" t="s">
        <v>13</v>
      </c>
      <c r="Z14" s="52">
        <v>1.05</v>
      </c>
      <c r="AA14" s="56">
        <f>IF(M14="","",+Z15*J14/1000)</f>
      </c>
      <c r="AB14" s="57">
        <f>IF(M14="","",I14)</f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" customHeight="1">
      <c r="A15" s="98"/>
      <c r="B15" s="59" t="s">
        <v>17</v>
      </c>
      <c r="C15" s="60"/>
      <c r="D15" s="100"/>
      <c r="E15" s="60" t="s">
        <v>13</v>
      </c>
      <c r="F15" s="100">
        <v>1</v>
      </c>
      <c r="G15" s="60"/>
      <c r="H15" s="61" t="s">
        <v>18</v>
      </c>
      <c r="I15" s="62"/>
      <c r="J15" s="129">
        <f>IF(I14="","",IF(I14&gt;50,"ヘーゼン","ウェストン"))</f>
      </c>
      <c r="K15" s="130"/>
      <c r="L15" s="131"/>
      <c r="M15" s="66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68" t="s">
        <v>15</v>
      </c>
      <c r="Z15" s="69">
        <f>IF(B13="","",Y13*Z14)</f>
        <v>0</v>
      </c>
      <c r="AA15" s="70"/>
      <c r="AB15" s="70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" customHeight="1">
      <c r="A16" s="99"/>
      <c r="B16" s="46">
        <v>0.28</v>
      </c>
      <c r="C16" s="47" t="s">
        <v>13</v>
      </c>
      <c r="D16" s="94">
        <f>IF(D18="","",IF(D18&gt;7,D18/10+2,IF(D18&gt;4,(D18-4)/5+2,IF(D18&gt;1,(D18-1)*0.3+1.1,1))))</f>
      </c>
      <c r="E16" s="47" t="s">
        <v>13</v>
      </c>
      <c r="F16" s="94">
        <f>IF(F18="","",F18)</f>
        <v>1</v>
      </c>
      <c r="G16" s="47" t="s">
        <v>13</v>
      </c>
      <c r="H16" s="36">
        <f>IF(D18="","",IF(F16&lt;4,1,IF(F16&lt;11,0.9,IF(F16&lt;21,0.8,IF(F16&lt;31,0.7,IF(F16&lt;41,0.65,IF(F16&lt;61,0.6,IF(F16&lt;81,0.55,0.5))))))))</f>
      </c>
      <c r="I16" s="37"/>
      <c r="J16" s="38"/>
      <c r="K16" s="39"/>
      <c r="L16" s="40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>
        <f>IF(B16="","",SUM(M17:X17))</f>
        <v>0</v>
      </c>
      <c r="Z16" s="43"/>
      <c r="AA16" s="44"/>
      <c r="AB16" s="44"/>
      <c r="AC16" s="1"/>
      <c r="AD16" s="4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" customHeight="1">
      <c r="A17" s="95" t="s">
        <v>14</v>
      </c>
      <c r="B17" s="46"/>
      <c r="D17" s="47"/>
      <c r="E17" s="47"/>
      <c r="F17" s="47"/>
      <c r="G17" s="47" t="s">
        <v>15</v>
      </c>
      <c r="H17" s="48">
        <f>IF(D18="","",B16*D16*F16*H16)</f>
      </c>
      <c r="I17" s="101"/>
      <c r="J17" s="50">
        <f>IF(I17="","",IF(I17&gt;50,ROUND((10.666*140^-1.85*(I17/1000)^-4.87*(H17/1000)^1.85)*1000,-1),ROUND((0.0126+(0.01739-0.1087*I17/1000)/(SQRT(H17/1000/((I17/1000/2)^2*PI()))))/I17*1000*(H17/1000/((I17/1000/2)^2*PI()))^2/2/9.8*1000,-1)))</f>
      </c>
      <c r="K17" s="51" t="s">
        <v>16</v>
      </c>
      <c r="L17" s="52">
        <v>1000</v>
      </c>
      <c r="M17" s="102"/>
      <c r="N17" s="54">
        <f>IF(N18="","",LOOKUP($I17,$I$5:$I$12,N$5:N$12)*N18)</f>
      </c>
      <c r="O17" s="54">
        <f aca="true" t="shared" si="1" ref="O17:X17">IF(O18="","",LOOKUP($I17,$I$5:$I$12,O$5:O$12)*O18)</f>
      </c>
      <c r="P17" s="54">
        <f t="shared" si="1"/>
      </c>
      <c r="Q17" s="54">
        <f t="shared" si="1"/>
      </c>
      <c r="R17" s="54">
        <f t="shared" si="1"/>
      </c>
      <c r="S17" s="54">
        <f t="shared" si="1"/>
      </c>
      <c r="T17" s="54">
        <f t="shared" si="1"/>
      </c>
      <c r="U17" s="54">
        <f t="shared" si="1"/>
      </c>
      <c r="V17" s="54">
        <f t="shared" si="1"/>
      </c>
      <c r="W17" s="54">
        <f t="shared" si="1"/>
      </c>
      <c r="X17" s="54">
        <f t="shared" si="1"/>
      </c>
      <c r="Y17" s="55" t="s">
        <v>13</v>
      </c>
      <c r="Z17" s="52">
        <v>1.05</v>
      </c>
      <c r="AA17" s="56">
        <f>IF(M17="","",+Z18*J17/1000)</f>
      </c>
      <c r="AB17" s="57">
        <f>IF(M17="","",I17)</f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>
      <c r="A18" s="98"/>
      <c r="B18" s="59" t="s">
        <v>17</v>
      </c>
      <c r="C18" s="60"/>
      <c r="D18" s="100"/>
      <c r="E18" s="60" t="s">
        <v>13</v>
      </c>
      <c r="F18" s="100">
        <v>1</v>
      </c>
      <c r="G18" s="60"/>
      <c r="H18" s="61" t="s">
        <v>18</v>
      </c>
      <c r="I18" s="62"/>
      <c r="J18" s="129">
        <f>IF(I17="","",IF(I17&gt;50,"ヘーゼン","ウェストン"))</f>
      </c>
      <c r="K18" s="130"/>
      <c r="L18" s="131"/>
      <c r="M18" s="66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68" t="s">
        <v>15</v>
      </c>
      <c r="Z18" s="69">
        <f>IF(B16="","",Y16*Z17)</f>
        <v>0</v>
      </c>
      <c r="AA18" s="70"/>
      <c r="AB18" s="70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" customHeight="1">
      <c r="A19" s="99"/>
      <c r="B19" s="46">
        <v>0.28</v>
      </c>
      <c r="C19" s="47" t="s">
        <v>13</v>
      </c>
      <c r="D19" s="94">
        <f>IF(D21="","",IF(D21&gt;7,D21/10+2,IF(D21&gt;4,(D21-4)/5+2,IF(D21&gt;1,(D21-1)*0.3+1.1,1))))</f>
      </c>
      <c r="E19" s="47" t="s">
        <v>13</v>
      </c>
      <c r="F19" s="94">
        <f>IF(F21="","",F21)</f>
        <v>1</v>
      </c>
      <c r="G19" s="47" t="s">
        <v>13</v>
      </c>
      <c r="H19" s="36">
        <f>IF(D21="","",IF(F19&lt;4,1,IF(F19&lt;11,0.9,IF(F19&lt;21,0.8,IF(F19&lt;31,0.7,IF(F19&lt;41,0.65,IF(F19&lt;61,0.6,IF(F19&lt;81,0.55,0.5))))))))</f>
      </c>
      <c r="I19" s="37"/>
      <c r="J19" s="38"/>
      <c r="K19" s="39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2">
        <f>IF(B19="","",SUM(M20:X20))</f>
        <v>0</v>
      </c>
      <c r="Z19" s="43"/>
      <c r="AA19" s="44"/>
      <c r="AB19" s="44"/>
      <c r="AC19" s="1"/>
      <c r="AD19" s="4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" customHeight="1">
      <c r="A20" s="95" t="s">
        <v>14</v>
      </c>
      <c r="B20" s="46"/>
      <c r="D20" s="47"/>
      <c r="E20" s="47"/>
      <c r="F20" s="47"/>
      <c r="G20" s="47" t="s">
        <v>15</v>
      </c>
      <c r="H20" s="48">
        <f>IF(D21="","",B19*D19*F19*H19)</f>
      </c>
      <c r="I20" s="101"/>
      <c r="J20" s="50">
        <f>IF(I20="","",IF(I20&gt;50,ROUND((10.666*140^-1.85*(I20/1000)^-4.87*(H20/1000)^1.85)*1000,-1),ROUND((0.0126+(0.01739-0.1087*I20/1000)/(SQRT(H20/1000/((I20/1000/2)^2*PI()))))/I20*1000*(H20/1000/((I20/1000/2)^2*PI()))^2/2/9.8*1000,-1)))</f>
      </c>
      <c r="K20" s="51" t="s">
        <v>16</v>
      </c>
      <c r="L20" s="52">
        <v>1000</v>
      </c>
      <c r="M20" s="102"/>
      <c r="N20" s="54">
        <f>IF(N21="","",LOOKUP($I20,$I$5:$I$12,N$5:N$12)*N21)</f>
      </c>
      <c r="O20" s="54">
        <f aca="true" t="shared" si="2" ref="O20:X20">IF(O21="","",LOOKUP($I20,$I$5:$I$12,O$5:O$12)*O21)</f>
      </c>
      <c r="P20" s="54">
        <f t="shared" si="2"/>
      </c>
      <c r="Q20" s="54">
        <f t="shared" si="2"/>
      </c>
      <c r="R20" s="54">
        <f t="shared" si="2"/>
      </c>
      <c r="S20" s="54">
        <f t="shared" si="2"/>
      </c>
      <c r="T20" s="54">
        <f t="shared" si="2"/>
      </c>
      <c r="U20" s="54">
        <f t="shared" si="2"/>
      </c>
      <c r="V20" s="54">
        <f t="shared" si="2"/>
      </c>
      <c r="W20" s="54">
        <f t="shared" si="2"/>
      </c>
      <c r="X20" s="54">
        <f t="shared" si="2"/>
      </c>
      <c r="Y20" s="55" t="s">
        <v>13</v>
      </c>
      <c r="Z20" s="52">
        <v>1.05</v>
      </c>
      <c r="AA20" s="56">
        <f>IF(M20="","",+Z21*J20/1000)</f>
      </c>
      <c r="AB20" s="57">
        <f>IF(M20="","",I20)</f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" customHeight="1">
      <c r="A21" s="98"/>
      <c r="B21" s="59" t="s">
        <v>17</v>
      </c>
      <c r="C21" s="60"/>
      <c r="D21" s="100"/>
      <c r="E21" s="60" t="s">
        <v>13</v>
      </c>
      <c r="F21" s="100">
        <v>1</v>
      </c>
      <c r="G21" s="60"/>
      <c r="H21" s="61" t="s">
        <v>18</v>
      </c>
      <c r="I21" s="62"/>
      <c r="J21" s="129">
        <f>IF(I20="","",IF(I20&gt;50,"ヘーゼン","ウェストン"))</f>
      </c>
      <c r="K21" s="130"/>
      <c r="L21" s="131"/>
      <c r="M21" s="66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68" t="s">
        <v>15</v>
      </c>
      <c r="Z21" s="69">
        <f>IF(B19="","",Y19*Z20)</f>
        <v>0</v>
      </c>
      <c r="AA21" s="70"/>
      <c r="AB21" s="70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" customHeight="1">
      <c r="A22" s="99"/>
      <c r="B22" s="46">
        <v>0.28</v>
      </c>
      <c r="C22" s="47" t="s">
        <v>13</v>
      </c>
      <c r="D22" s="94">
        <f>IF(D24="","",IF(D24&gt;7,D24/10+2,IF(D24&gt;4,(D24-4)/5+2,IF(D24&gt;1,(D24-1)*0.3+1.1,1))))</f>
      </c>
      <c r="E22" s="47" t="s">
        <v>13</v>
      </c>
      <c r="F22" s="94">
        <f>IF(F24="","",F24)</f>
        <v>1</v>
      </c>
      <c r="G22" s="47" t="s">
        <v>13</v>
      </c>
      <c r="H22" s="36">
        <f>IF(D24="","",IF(F22&lt;4,1,IF(F22&lt;11,0.9,IF(F22&lt;21,0.8,IF(F22&lt;31,0.7,IF(F22&lt;41,0.65,IF(F22&lt;61,0.6,IF(F22&lt;81,0.55,0.5))))))))</f>
      </c>
      <c r="I22" s="37"/>
      <c r="J22" s="38"/>
      <c r="K22" s="39"/>
      <c r="L22" s="40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>
        <f>IF(B22="","",SUM(M23:X23))</f>
        <v>0</v>
      </c>
      <c r="Z22" s="43"/>
      <c r="AA22" s="44"/>
      <c r="AB22" s="44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" customHeight="1">
      <c r="A23" s="95" t="s">
        <v>14</v>
      </c>
      <c r="B23" s="46"/>
      <c r="D23" s="47"/>
      <c r="E23" s="47"/>
      <c r="F23" s="47"/>
      <c r="G23" s="47" t="s">
        <v>15</v>
      </c>
      <c r="H23" s="48">
        <f>IF(D24="","",B22*D22*F22*H22)</f>
      </c>
      <c r="I23" s="101"/>
      <c r="J23" s="50">
        <f>IF(I23="","",IF(I23&gt;50,ROUND((10.666*140^-1.85*(I23/1000)^-4.87*(H23/1000)^1.85)*1000,-1),ROUND((0.0126+(0.01739-0.1087*I23/1000)/(SQRT(H23/1000/((I23/1000/2)^2*PI()))))/I23*1000*(H23/1000/((I23/1000/2)^2*PI()))^2/2/9.8*1000,-1)))</f>
      </c>
      <c r="K23" s="51" t="s">
        <v>16</v>
      </c>
      <c r="L23" s="52">
        <v>1000</v>
      </c>
      <c r="M23" s="102"/>
      <c r="N23" s="54">
        <f>IF(N24="","",LOOKUP($I23,$I$5:$I$12,N$5:N$12)*N24)</f>
      </c>
      <c r="O23" s="54">
        <f aca="true" t="shared" si="3" ref="O23:X23">IF(O24="","",LOOKUP($I23,$I$5:$I$12,O$5:O$12)*O24)</f>
      </c>
      <c r="P23" s="54">
        <f t="shared" si="3"/>
      </c>
      <c r="Q23" s="54">
        <f t="shared" si="3"/>
      </c>
      <c r="R23" s="54">
        <f t="shared" si="3"/>
      </c>
      <c r="S23" s="54">
        <f t="shared" si="3"/>
      </c>
      <c r="T23" s="54">
        <f t="shared" si="3"/>
      </c>
      <c r="U23" s="54">
        <f t="shared" si="3"/>
      </c>
      <c r="V23" s="54">
        <f t="shared" si="3"/>
      </c>
      <c r="W23" s="54">
        <f t="shared" si="3"/>
      </c>
      <c r="X23" s="54">
        <f t="shared" si="3"/>
      </c>
      <c r="Y23" s="55" t="s">
        <v>13</v>
      </c>
      <c r="Z23" s="52">
        <v>1.05</v>
      </c>
      <c r="AA23" s="56">
        <f>IF(M23="","",+Z24*J23/1000)</f>
      </c>
      <c r="AB23" s="57">
        <f>IF(M23="","",I23)</f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" customHeight="1">
      <c r="A24" s="98"/>
      <c r="B24" s="59" t="s">
        <v>17</v>
      </c>
      <c r="C24" s="60"/>
      <c r="D24" s="100"/>
      <c r="E24" s="60" t="s">
        <v>13</v>
      </c>
      <c r="F24" s="100">
        <v>1</v>
      </c>
      <c r="G24" s="60"/>
      <c r="H24" s="61" t="s">
        <v>18</v>
      </c>
      <c r="I24" s="62"/>
      <c r="J24" s="129">
        <f>IF(I23="","",IF(I23&gt;50,"ヘーゼン","ウェストン"))</f>
      </c>
      <c r="K24" s="130"/>
      <c r="L24" s="131"/>
      <c r="M24" s="66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68" t="s">
        <v>15</v>
      </c>
      <c r="Z24" s="69">
        <f>IF(B22="","",Y22*Z23)</f>
        <v>0</v>
      </c>
      <c r="AA24" s="70"/>
      <c r="AB24" s="70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" customHeight="1">
      <c r="A25" s="99"/>
      <c r="B25" s="46">
        <v>0.28</v>
      </c>
      <c r="C25" s="47" t="s">
        <v>13</v>
      </c>
      <c r="D25" s="94">
        <f>IF(D27="","",IF(D27&gt;7,D27/10+2,IF(D27&gt;4,(D27-4)/5+2,IF(D27&gt;1,(D27-1)*0.3+1.1,1))))</f>
      </c>
      <c r="E25" s="47" t="s">
        <v>13</v>
      </c>
      <c r="F25" s="94">
        <f>IF(F27="","",F27)</f>
        <v>1</v>
      </c>
      <c r="G25" s="47" t="s">
        <v>13</v>
      </c>
      <c r="H25" s="36">
        <f>IF(D27="","",IF(F25&lt;4,1,IF(F25&lt;11,0.9,IF(F25&lt;21,0.8,IF(F25&lt;31,0.7,IF(F25&lt;41,0.65,IF(F25&lt;61,0.6,IF(F25&lt;81,0.55,0.5))))))))</f>
      </c>
      <c r="I25" s="37"/>
      <c r="J25" s="38"/>
      <c r="K25" s="39"/>
      <c r="L25" s="40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>
        <f>IF(B25="","",SUM(M26:X26))</f>
        <v>0</v>
      </c>
      <c r="Z25" s="43"/>
      <c r="AA25" s="44"/>
      <c r="AB25" s="44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" customHeight="1">
      <c r="A26" s="95" t="s">
        <v>14</v>
      </c>
      <c r="B26" s="46"/>
      <c r="D26" s="47"/>
      <c r="E26" s="47"/>
      <c r="F26" s="47"/>
      <c r="G26" s="47" t="s">
        <v>15</v>
      </c>
      <c r="H26" s="48">
        <f>IF(D27="","",B25*D25*F25*H25)</f>
      </c>
      <c r="I26" s="101"/>
      <c r="J26" s="50">
        <f>IF(I26="","",IF(I26&gt;50,ROUND((10.666*140^-1.85*(I26/1000)^-4.87*(H26/1000)^1.85)*1000,-1),ROUND((0.0126+(0.01739-0.1087*I26/1000)/(SQRT(H26/1000/((I26/1000/2)^2*PI()))))/I26*1000*(H26/1000/((I26/1000/2)^2*PI()))^2/2/9.8*1000,-1)))</f>
      </c>
      <c r="K26" s="51" t="s">
        <v>16</v>
      </c>
      <c r="L26" s="52">
        <v>1000</v>
      </c>
      <c r="M26" s="102"/>
      <c r="N26" s="54">
        <f aca="true" t="shared" si="4" ref="N26:X26">IF(N27="","",LOOKUP($I26,$I$5:$I$12,N$5:N$12)*N27)</f>
      </c>
      <c r="O26" s="54">
        <f t="shared" si="4"/>
      </c>
      <c r="P26" s="54">
        <f t="shared" si="4"/>
      </c>
      <c r="Q26" s="54">
        <f t="shared" si="4"/>
      </c>
      <c r="R26" s="54">
        <f t="shared" si="4"/>
      </c>
      <c r="S26" s="54">
        <f t="shared" si="4"/>
      </c>
      <c r="T26" s="54">
        <f t="shared" si="4"/>
      </c>
      <c r="U26" s="54">
        <f t="shared" si="4"/>
      </c>
      <c r="V26" s="54">
        <f t="shared" si="4"/>
      </c>
      <c r="W26" s="54">
        <f t="shared" si="4"/>
      </c>
      <c r="X26" s="54">
        <f t="shared" si="4"/>
      </c>
      <c r="Y26" s="55" t="s">
        <v>13</v>
      </c>
      <c r="Z26" s="52">
        <v>1.05</v>
      </c>
      <c r="AA26" s="56">
        <f>IF(M26="","",+Z27*J26/1000)</f>
      </c>
      <c r="AB26" s="57">
        <f>IF(M26="","",I26)</f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" customHeight="1">
      <c r="A27" s="98"/>
      <c r="B27" s="59" t="s">
        <v>17</v>
      </c>
      <c r="C27" s="60"/>
      <c r="D27" s="100"/>
      <c r="E27" s="60" t="s">
        <v>13</v>
      </c>
      <c r="F27" s="100">
        <v>1</v>
      </c>
      <c r="G27" s="60"/>
      <c r="H27" s="61" t="s">
        <v>18</v>
      </c>
      <c r="I27" s="62"/>
      <c r="J27" s="129">
        <f>IF(I26="","",IF(I26&gt;50,"ヘーゼン","ウェストン"))</f>
      </c>
      <c r="K27" s="130"/>
      <c r="L27" s="131"/>
      <c r="M27" s="66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68" t="s">
        <v>15</v>
      </c>
      <c r="Z27" s="69">
        <f>IF(B25="","",Y25*Z26)</f>
        <v>0</v>
      </c>
      <c r="AA27" s="70"/>
      <c r="AB27" s="70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" customHeight="1">
      <c r="A28" s="99"/>
      <c r="B28" s="46">
        <v>0.28</v>
      </c>
      <c r="C28" s="35" t="s">
        <v>13</v>
      </c>
      <c r="D28" s="94">
        <f>IF(D30="","",IF(D30&gt;7,D30/10+2,IF(D30&gt;4,(D30-4)/5+2,IF(D30&gt;1,(D30-1)*0.3+1.1,1))))</f>
      </c>
      <c r="E28" s="47" t="s">
        <v>13</v>
      </c>
      <c r="F28" s="94">
        <f>IF(F30="","",F30)</f>
        <v>1</v>
      </c>
      <c r="G28" s="35" t="s">
        <v>13</v>
      </c>
      <c r="H28" s="36">
        <f>IF(D30="","",IF(F28&lt;4,1,IF(F28&lt;11,0.9,IF(F28&lt;21,0.8,IF(F28&lt;31,0.7,IF(F28&lt;41,0.65,IF(F28&lt;61,0.6,IF(F28&lt;81,0.55,0.5))))))))</f>
      </c>
      <c r="I28" s="37"/>
      <c r="J28" s="38"/>
      <c r="K28" s="39"/>
      <c r="L28" s="40"/>
      <c r="M28" s="93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>
        <f>IF(B28="","",SUM(M29:X29))</f>
        <v>0</v>
      </c>
      <c r="Z28" s="43"/>
      <c r="AA28" s="44"/>
      <c r="AB28" s="44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" customHeight="1">
      <c r="A29" s="95" t="s">
        <v>14</v>
      </c>
      <c r="B29" s="46"/>
      <c r="C29" s="1"/>
      <c r="D29" s="47"/>
      <c r="E29" s="47"/>
      <c r="F29" s="47"/>
      <c r="G29" s="47" t="s">
        <v>15</v>
      </c>
      <c r="H29" s="48">
        <f>IF(D30="","",B28*D28*F28*H28)</f>
      </c>
      <c r="I29" s="101"/>
      <c r="J29" s="50">
        <f>IF(I29="","",IF(I29&gt;50,ROUND((10.666*140^-1.85*(I29/1000)^-4.87*(H29/1000)^1.85)*1000,-1),ROUND((0.0126+(0.01739-0.1087*I29/1000)/(SQRT(H29/1000/((I29/1000/2)^2*PI()))))/I29*1000*(H29/1000/((I29/1000/2)^2*PI()))^2/2/9.8*1000,-1)))</f>
      </c>
      <c r="K29" s="51" t="s">
        <v>16</v>
      </c>
      <c r="L29" s="52">
        <v>1000</v>
      </c>
      <c r="M29" s="102"/>
      <c r="N29" s="54">
        <f aca="true" t="shared" si="5" ref="N29:X29">IF(N30="","",LOOKUP($I29,$I$5:$I$12,N$5:N$12)*N30)</f>
      </c>
      <c r="O29" s="54">
        <f t="shared" si="5"/>
      </c>
      <c r="P29" s="54">
        <f t="shared" si="5"/>
      </c>
      <c r="Q29" s="54">
        <f t="shared" si="5"/>
      </c>
      <c r="R29" s="54">
        <f t="shared" si="5"/>
      </c>
      <c r="S29" s="54">
        <f t="shared" si="5"/>
      </c>
      <c r="T29" s="54">
        <f t="shared" si="5"/>
      </c>
      <c r="U29" s="54">
        <f t="shared" si="5"/>
      </c>
      <c r="V29" s="54">
        <f t="shared" si="5"/>
      </c>
      <c r="W29" s="54">
        <f t="shared" si="5"/>
      </c>
      <c r="X29" s="54">
        <f t="shared" si="5"/>
      </c>
      <c r="Y29" s="55" t="s">
        <v>13</v>
      </c>
      <c r="Z29" s="52">
        <v>1.05</v>
      </c>
      <c r="AA29" s="56">
        <f>IF(M29="","",+Z30*J29/1000)</f>
      </c>
      <c r="AB29" s="57">
        <f>IF(M29="","",I29)</f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" customHeight="1">
      <c r="A30" s="98"/>
      <c r="B30" s="59" t="s">
        <v>17</v>
      </c>
      <c r="C30" s="60"/>
      <c r="D30" s="100"/>
      <c r="E30" s="60" t="s">
        <v>13</v>
      </c>
      <c r="F30" s="100">
        <v>1</v>
      </c>
      <c r="G30" s="60"/>
      <c r="H30" s="61" t="s">
        <v>18</v>
      </c>
      <c r="I30" s="62"/>
      <c r="J30" s="129">
        <f>IF(I29="","",IF(I29&gt;50,"ヘーゼン","ウェストン"))</f>
      </c>
      <c r="K30" s="130"/>
      <c r="L30" s="131"/>
      <c r="M30" s="66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68" t="s">
        <v>15</v>
      </c>
      <c r="Z30" s="69">
        <f>IF(B28="","",Y28*Z29)</f>
        <v>0</v>
      </c>
      <c r="AA30" s="70"/>
      <c r="AB30" s="70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" customHeight="1">
      <c r="A31" s="99"/>
      <c r="B31" s="46">
        <v>0.28</v>
      </c>
      <c r="C31" s="35" t="s">
        <v>13</v>
      </c>
      <c r="D31" s="94">
        <f>IF(D33="","",IF(D33&gt;7,D33/10+2,IF(D33&gt;4,(D33-4)/5+2,IF(D33&gt;1,(D33-1)*0.3+1.1,1))))</f>
      </c>
      <c r="E31" s="47" t="s">
        <v>13</v>
      </c>
      <c r="F31" s="94">
        <f>IF(F33="","",F33)</f>
        <v>1</v>
      </c>
      <c r="G31" s="35" t="s">
        <v>13</v>
      </c>
      <c r="H31" s="36">
        <f>IF(D33="","",IF(F31&lt;4,1,IF(F31&lt;11,0.9,IF(F31&lt;21,0.8,IF(F31&lt;31,0.7,IF(F31&lt;41,0.65,IF(F31&lt;61,0.6,IF(F31&lt;81,0.55,0.5))))))))</f>
      </c>
      <c r="I31" s="37"/>
      <c r="J31" s="38"/>
      <c r="K31" s="39"/>
      <c r="L31" s="40"/>
      <c r="M31" s="93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>
        <f>IF(B31="","",SUM(M32:X32))</f>
        <v>0</v>
      </c>
      <c r="Z31" s="43"/>
      <c r="AA31" s="44"/>
      <c r="AB31" s="44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" customHeight="1">
      <c r="A32" s="95" t="s">
        <v>14</v>
      </c>
      <c r="B32" s="46"/>
      <c r="C32" s="1"/>
      <c r="D32" s="47"/>
      <c r="E32" s="47"/>
      <c r="F32" s="47"/>
      <c r="G32" s="47" t="s">
        <v>15</v>
      </c>
      <c r="H32" s="48">
        <f>IF(D33="","",B31*D31*F31*H31)</f>
      </c>
      <c r="I32" s="101"/>
      <c r="J32" s="50">
        <f>IF(I32="","",IF(I32&gt;50,ROUND((10.666*140^-1.85*(I32/1000)^-4.87*(H32/1000)^1.85)*1000,-1),ROUND((0.0126+(0.01739-0.1087*I32/1000)/(SQRT(H32/1000/((I32/1000/2)^2*PI()))))/I32*1000*(H32/1000/((I32/1000/2)^2*PI()))^2/2/9.8*1000,-1)))</f>
      </c>
      <c r="K32" s="51" t="s">
        <v>16</v>
      </c>
      <c r="L32" s="52">
        <v>1000</v>
      </c>
      <c r="M32" s="102"/>
      <c r="N32" s="54">
        <f aca="true" t="shared" si="6" ref="N32:X32">IF(N33="","",LOOKUP($I32,$I$5:$I$12,N$5:N$12)*N33)</f>
      </c>
      <c r="O32" s="54">
        <f t="shared" si="6"/>
      </c>
      <c r="P32" s="54">
        <f t="shared" si="6"/>
      </c>
      <c r="Q32" s="54">
        <f t="shared" si="6"/>
      </c>
      <c r="R32" s="54">
        <f t="shared" si="6"/>
      </c>
      <c r="S32" s="54">
        <f t="shared" si="6"/>
      </c>
      <c r="T32" s="54">
        <f t="shared" si="6"/>
      </c>
      <c r="U32" s="54">
        <f t="shared" si="6"/>
      </c>
      <c r="V32" s="54">
        <f t="shared" si="6"/>
      </c>
      <c r="W32" s="54">
        <f t="shared" si="6"/>
      </c>
      <c r="X32" s="54">
        <f t="shared" si="6"/>
      </c>
      <c r="Y32" s="55" t="s">
        <v>13</v>
      </c>
      <c r="Z32" s="52">
        <v>1.05</v>
      </c>
      <c r="AA32" s="56">
        <f>IF(M32="","",+Z33*J32/1000)</f>
      </c>
      <c r="AB32" s="57">
        <f>IF(M32="","",I32)</f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" customHeight="1">
      <c r="A33" s="98"/>
      <c r="B33" s="59" t="s">
        <v>17</v>
      </c>
      <c r="C33" s="60"/>
      <c r="D33" s="100"/>
      <c r="E33" s="60" t="s">
        <v>13</v>
      </c>
      <c r="F33" s="100">
        <v>1</v>
      </c>
      <c r="G33" s="60"/>
      <c r="H33" s="61" t="s">
        <v>18</v>
      </c>
      <c r="I33" s="62"/>
      <c r="J33" s="129">
        <f>IF(I32="","",IF(I32&gt;50,"ヘーゼン","ウェストン"))</f>
      </c>
      <c r="K33" s="130"/>
      <c r="L33" s="131"/>
      <c r="M33" s="66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68" t="s">
        <v>15</v>
      </c>
      <c r="Z33" s="69">
        <f>IF(B31="","",Y31*Z32)</f>
        <v>0</v>
      </c>
      <c r="AA33" s="70"/>
      <c r="AB33" s="70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" customHeight="1">
      <c r="A34" s="97"/>
      <c r="B34" s="46">
        <v>0.28</v>
      </c>
      <c r="C34" s="47" t="s">
        <v>13</v>
      </c>
      <c r="D34" s="94">
        <f>IF(D36="","",IF(D36&gt;7,D36/10+2,IF(D36&gt;4,(D36-4)/5+2,IF(D36&gt;1,(D36-1)*0.3+1.1,1))))</f>
      </c>
      <c r="E34" s="47" t="s">
        <v>13</v>
      </c>
      <c r="F34" s="94">
        <f>IF(F36="","",F36)</f>
        <v>1</v>
      </c>
      <c r="G34" s="47" t="s">
        <v>13</v>
      </c>
      <c r="H34" s="36">
        <f>IF(D36="","",IF(F34&lt;4,1,IF(F34&lt;11,0.9,IF(F34&lt;21,0.8,IF(F34&lt;31,0.7,IF(F34&lt;41,0.65,IF(F34&lt;61,0.6,IF(F34&lt;81,0.55,0.5))))))))</f>
      </c>
      <c r="I34" s="84"/>
      <c r="J34" s="85"/>
      <c r="K34" s="51"/>
      <c r="L34" s="86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42">
        <f>IF(B34="","",SUM(M35:X35))</f>
        <v>0</v>
      </c>
      <c r="Z34" s="52"/>
      <c r="AA34" s="88"/>
      <c r="AB34" s="88"/>
      <c r="AC34" s="1"/>
      <c r="AD34" s="4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" customHeight="1">
      <c r="A35" s="95" t="s">
        <v>14</v>
      </c>
      <c r="B35" s="46"/>
      <c r="D35" s="47"/>
      <c r="E35" s="47"/>
      <c r="F35" s="47"/>
      <c r="G35" s="47" t="s">
        <v>15</v>
      </c>
      <c r="H35" s="48">
        <f>IF(D36="","",B34*D34*F34*H34)</f>
      </c>
      <c r="I35" s="101"/>
      <c r="J35" s="50">
        <f>IF(I35="","",IF(I35&gt;50,ROUND((10.666*140^-1.85*(I35/1000)^-4.87*(H35/1000)^1.85)*1000,-1),ROUND((0.0126+(0.01739-0.1087*I35/1000)/(SQRT(H35/1000/((I35/1000/2)^2*PI()))))/I35*1000*(H35/1000/((I35/1000/2)^2*PI()))^2/2/9.8*1000,-1)))</f>
      </c>
      <c r="K35" s="51" t="s">
        <v>16</v>
      </c>
      <c r="L35" s="52">
        <v>1000</v>
      </c>
      <c r="M35" s="102"/>
      <c r="N35" s="54">
        <f>IF(N36="","",LOOKUP($I35,$I$5:$I$12,N$5:N$12)*N36)</f>
      </c>
      <c r="O35" s="54">
        <f aca="true" t="shared" si="7" ref="O35:X35">IF(O36="","",LOOKUP($I35,$I$5:$I$12,O$5:O$12)*O36)</f>
      </c>
      <c r="P35" s="54">
        <f t="shared" si="7"/>
      </c>
      <c r="Q35" s="54">
        <f t="shared" si="7"/>
      </c>
      <c r="R35" s="54">
        <f t="shared" si="7"/>
      </c>
      <c r="S35" s="54">
        <f t="shared" si="7"/>
      </c>
      <c r="T35" s="54">
        <f t="shared" si="7"/>
      </c>
      <c r="U35" s="54">
        <f t="shared" si="7"/>
      </c>
      <c r="V35" s="54">
        <f t="shared" si="7"/>
      </c>
      <c r="W35" s="54">
        <f t="shared" si="7"/>
      </c>
      <c r="X35" s="54">
        <f t="shared" si="7"/>
      </c>
      <c r="Y35" s="55" t="s">
        <v>13</v>
      </c>
      <c r="Z35" s="52">
        <v>1.05</v>
      </c>
      <c r="AA35" s="56">
        <f>IF(M35="","",+Z36*J35/1000)</f>
      </c>
      <c r="AB35" s="57">
        <f>IF(M35="","",I35)</f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" customHeight="1">
      <c r="A36" s="98"/>
      <c r="B36" s="59" t="s">
        <v>17</v>
      </c>
      <c r="C36" s="60"/>
      <c r="D36" s="100"/>
      <c r="E36" s="60" t="s">
        <v>13</v>
      </c>
      <c r="F36" s="100">
        <v>1</v>
      </c>
      <c r="G36" s="60"/>
      <c r="H36" s="61" t="s">
        <v>18</v>
      </c>
      <c r="I36" s="62"/>
      <c r="J36" s="129">
        <f>IF(I35="","",IF(I35&gt;50,"ヘーゼン","ウェストン"))</f>
      </c>
      <c r="K36" s="130"/>
      <c r="L36" s="131"/>
      <c r="M36" s="66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68" t="s">
        <v>15</v>
      </c>
      <c r="Z36" s="69">
        <f>IF(B34="","",Y34*Z35)</f>
        <v>0</v>
      </c>
      <c r="AA36" s="70"/>
      <c r="AB36" s="70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" customHeight="1">
      <c r="A37" s="99"/>
      <c r="B37" s="46">
        <v>0.28</v>
      </c>
      <c r="C37" s="47" t="s">
        <v>13</v>
      </c>
      <c r="D37" s="94">
        <f>IF(D39="","",IF(D39&gt;7,D39/10+2,IF(D39&gt;4,(D39-4)/5+2,IF(D39&gt;1,(D39-1)*0.3+1.1,1))))</f>
      </c>
      <c r="E37" s="47" t="s">
        <v>13</v>
      </c>
      <c r="F37" s="94">
        <f>IF(F39="","",F39)</f>
        <v>1</v>
      </c>
      <c r="G37" s="47" t="s">
        <v>13</v>
      </c>
      <c r="H37" s="36">
        <f>IF(D39="","",IF(F37&lt;4,1,IF(F37&lt;11,0.9,IF(F37&lt;21,0.8,IF(F37&lt;31,0.7,IF(F37&lt;41,0.65,IF(F37&lt;61,0.6,IF(F37&lt;81,0.55,0.5))))))))</f>
      </c>
      <c r="I37" s="37"/>
      <c r="J37" s="38"/>
      <c r="K37" s="39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2">
        <f>IF(B37="","",SUM(M38:X38))</f>
        <v>0</v>
      </c>
      <c r="Z37" s="43"/>
      <c r="AA37" s="44"/>
      <c r="AB37" s="44"/>
      <c r="AC37" s="1"/>
      <c r="AD37" s="4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" customHeight="1">
      <c r="A38" s="95" t="s">
        <v>14</v>
      </c>
      <c r="B38" s="46"/>
      <c r="D38" s="47"/>
      <c r="E38" s="47"/>
      <c r="F38" s="47"/>
      <c r="G38" s="47" t="s">
        <v>15</v>
      </c>
      <c r="H38" s="48">
        <f>IF(D39="","",B37*D37*F37*H37)</f>
      </c>
      <c r="I38" s="101"/>
      <c r="J38" s="50">
        <f>IF(I38="","",IF(I38&gt;50,ROUND((10.666*140^-1.85*(I38/1000)^-4.87*(H38/1000)^1.85)*1000,-1),ROUND((0.0126+(0.01739-0.1087*I38/1000)/(SQRT(H38/1000/((I38/1000/2)^2*PI()))))/I38*1000*(H38/1000/((I38/1000/2)^2*PI()))^2/2/9.8*1000,-1)))</f>
      </c>
      <c r="K38" s="51" t="s">
        <v>16</v>
      </c>
      <c r="L38" s="52">
        <v>1000</v>
      </c>
      <c r="M38" s="102"/>
      <c r="N38" s="54">
        <f>IF(N39="","",LOOKUP($I38,$I$5:$I$12,N$5:N$12)*N39)</f>
      </c>
      <c r="O38" s="54">
        <f aca="true" t="shared" si="8" ref="O38:X38">IF(O39="","",LOOKUP($I38,$I$5:$I$12,O$5:O$12)*O39)</f>
      </c>
      <c r="P38" s="54">
        <f t="shared" si="8"/>
      </c>
      <c r="Q38" s="54">
        <f t="shared" si="8"/>
      </c>
      <c r="R38" s="54">
        <f t="shared" si="8"/>
      </c>
      <c r="S38" s="54">
        <f t="shared" si="8"/>
      </c>
      <c r="T38" s="54">
        <f t="shared" si="8"/>
      </c>
      <c r="U38" s="54">
        <f t="shared" si="8"/>
      </c>
      <c r="V38" s="54">
        <f t="shared" si="8"/>
      </c>
      <c r="W38" s="54">
        <f t="shared" si="8"/>
      </c>
      <c r="X38" s="54">
        <f t="shared" si="8"/>
      </c>
      <c r="Y38" s="55" t="s">
        <v>13</v>
      </c>
      <c r="Z38" s="52">
        <v>1.05</v>
      </c>
      <c r="AA38" s="56">
        <f>IF(M38="","",+Z39*J38/1000)</f>
      </c>
      <c r="AB38" s="57">
        <f>IF(M38="","",I38)</f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" customHeight="1">
      <c r="A39" s="98"/>
      <c r="B39" s="59" t="s">
        <v>17</v>
      </c>
      <c r="C39" s="60"/>
      <c r="D39" s="100"/>
      <c r="E39" s="60" t="s">
        <v>13</v>
      </c>
      <c r="F39" s="100">
        <v>1</v>
      </c>
      <c r="G39" s="60"/>
      <c r="H39" s="61" t="s">
        <v>18</v>
      </c>
      <c r="I39" s="62"/>
      <c r="J39" s="129">
        <f>IF(I38="","",IF(I38&gt;50,"ヘーゼン","ウェストン"))</f>
      </c>
      <c r="K39" s="130"/>
      <c r="L39" s="131"/>
      <c r="M39" s="66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68" t="s">
        <v>15</v>
      </c>
      <c r="Z39" s="69">
        <f>IF(B37="","",Y37*Z38)</f>
        <v>0</v>
      </c>
      <c r="AA39" s="70"/>
      <c r="AB39" s="70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" customHeight="1">
      <c r="A40" s="99"/>
      <c r="B40" s="46">
        <v>0.28</v>
      </c>
      <c r="C40" s="47" t="s">
        <v>13</v>
      </c>
      <c r="D40" s="94">
        <f>IF(D42="","",IF(D42&gt;7,D42/10+2,IF(D42&gt;4,(D42-4)/5+2,IF(D42&gt;1,(D42-1)*0.3+1.1,1))))</f>
      </c>
      <c r="E40" s="47" t="s">
        <v>13</v>
      </c>
      <c r="F40" s="94">
        <f>IF(F42="","",F42)</f>
        <v>1</v>
      </c>
      <c r="G40" s="47" t="s">
        <v>13</v>
      </c>
      <c r="H40" s="36">
        <f>IF(D42="","",IF(F40&lt;4,1,IF(F40&lt;11,0.9,IF(F40&lt;21,0.8,IF(F40&lt;31,0.7,IF(F40&lt;41,0.65,IF(F40&lt;61,0.6,IF(F40&lt;81,0.55,0.5))))))))</f>
      </c>
      <c r="I40" s="37"/>
      <c r="J40" s="38"/>
      <c r="K40" s="39"/>
      <c r="L40" s="40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>
        <f>IF(B40="","",SUM(M41:X41))</f>
        <v>0</v>
      </c>
      <c r="Z40" s="43"/>
      <c r="AA40" s="44"/>
      <c r="AB40" s="44"/>
      <c r="AC40" s="1"/>
      <c r="AD40" s="4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" customHeight="1">
      <c r="A41" s="95" t="s">
        <v>14</v>
      </c>
      <c r="B41" s="46"/>
      <c r="D41" s="47"/>
      <c r="E41" s="47"/>
      <c r="F41" s="47"/>
      <c r="G41" s="47" t="s">
        <v>15</v>
      </c>
      <c r="H41" s="48">
        <f>IF(D42="","",B40*D40*F40*H40)</f>
      </c>
      <c r="I41" s="101"/>
      <c r="J41" s="50">
        <f>IF(I41="","",IF(I41&gt;50,ROUND((10.666*140^-1.85*(I41/1000)^-4.87*(H41/1000)^1.85)*1000,-1),ROUND((0.0126+(0.01739-0.1087*I41/1000)/(SQRT(H41/1000/((I41/1000/2)^2*PI()))))/I41*1000*(H41/1000/((I41/1000/2)^2*PI()))^2/2/9.8*1000,-1)))</f>
      </c>
      <c r="K41" s="51" t="s">
        <v>16</v>
      </c>
      <c r="L41" s="52">
        <v>1000</v>
      </c>
      <c r="M41" s="102"/>
      <c r="N41" s="54">
        <f>IF(N42="","",LOOKUP($I41,$I$5:$I$12,N$5:N$12)*N42)</f>
      </c>
      <c r="O41" s="54">
        <f aca="true" t="shared" si="9" ref="O41:X41">IF(O42="","",LOOKUP($I41,$I$5:$I$12,O$5:O$12)*O42)</f>
      </c>
      <c r="P41" s="54">
        <f t="shared" si="9"/>
      </c>
      <c r="Q41" s="54">
        <f t="shared" si="9"/>
      </c>
      <c r="R41" s="54">
        <f t="shared" si="9"/>
      </c>
      <c r="S41" s="54">
        <f t="shared" si="9"/>
      </c>
      <c r="T41" s="54">
        <f t="shared" si="9"/>
      </c>
      <c r="U41" s="54">
        <f t="shared" si="9"/>
      </c>
      <c r="V41" s="54">
        <f t="shared" si="9"/>
      </c>
      <c r="W41" s="54">
        <f t="shared" si="9"/>
      </c>
      <c r="X41" s="54">
        <f t="shared" si="9"/>
      </c>
      <c r="Y41" s="55" t="s">
        <v>13</v>
      </c>
      <c r="Z41" s="52">
        <v>1.05</v>
      </c>
      <c r="AA41" s="56">
        <f>IF(M41="","",+Z42*J41/1000)</f>
      </c>
      <c r="AB41" s="57">
        <f>IF(M41="","",I41)</f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" customHeight="1">
      <c r="A42" s="98"/>
      <c r="B42" s="59" t="s">
        <v>17</v>
      </c>
      <c r="C42" s="60"/>
      <c r="D42" s="100"/>
      <c r="E42" s="60" t="s">
        <v>13</v>
      </c>
      <c r="F42" s="100">
        <v>1</v>
      </c>
      <c r="G42" s="60"/>
      <c r="H42" s="61" t="s">
        <v>18</v>
      </c>
      <c r="I42" s="62"/>
      <c r="J42" s="129">
        <f>IF(I41="","",IF(I41&gt;50,"ヘーゼン","ウェストン"))</f>
      </c>
      <c r="K42" s="130"/>
      <c r="L42" s="131"/>
      <c r="M42" s="66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68" t="s">
        <v>15</v>
      </c>
      <c r="Z42" s="69">
        <f>IF(B40="","",Y40*Z41)</f>
        <v>0</v>
      </c>
      <c r="AA42" s="70"/>
      <c r="AB42" s="70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" customHeight="1">
      <c r="A43" s="99"/>
      <c r="B43" s="46">
        <v>0.28</v>
      </c>
      <c r="C43" s="47" t="s">
        <v>13</v>
      </c>
      <c r="D43" s="94">
        <f>IF(D45="","",IF(D45&gt;7,D45/10+2,IF(D45&gt;4,(D45-4)/5+2,IF(D45&gt;1,(D45-1)*0.3+1.1,1))))</f>
      </c>
      <c r="E43" s="47" t="s">
        <v>13</v>
      </c>
      <c r="F43" s="94">
        <f>IF(F45="","",F45)</f>
        <v>1</v>
      </c>
      <c r="G43" s="47" t="s">
        <v>13</v>
      </c>
      <c r="H43" s="36">
        <f>IF(D45="","",IF(F43&lt;4,1,IF(F43&lt;11,0.9,IF(F43&lt;21,0.8,IF(F43&lt;31,0.7,IF(F43&lt;41,0.65,IF(F43&lt;61,0.6,IF(F43&lt;81,0.55,0.5))))))))</f>
      </c>
      <c r="I43" s="37"/>
      <c r="J43" s="38"/>
      <c r="K43" s="39"/>
      <c r="L43" s="40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2">
        <f>IF(B43="","",SUM(M44:X44))</f>
        <v>0</v>
      </c>
      <c r="Z43" s="43"/>
      <c r="AA43" s="44"/>
      <c r="AB43" s="44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" customHeight="1">
      <c r="A44" s="95" t="s">
        <v>14</v>
      </c>
      <c r="B44" s="46"/>
      <c r="D44" s="47"/>
      <c r="E44" s="47"/>
      <c r="F44" s="47"/>
      <c r="G44" s="47" t="s">
        <v>15</v>
      </c>
      <c r="H44" s="48">
        <f>IF(D45="","",B43*D43*F43*H43)</f>
      </c>
      <c r="I44" s="101"/>
      <c r="J44" s="50">
        <f>IF(I44="","",IF(I44&gt;50,ROUND((10.666*140^-1.85*(I44/1000)^-4.87*(H44/1000)^1.85)*1000,-1),ROUND((0.0126+(0.01739-0.1087*I44/1000)/(SQRT(H44/1000/((I44/1000/2)^2*PI()))))/I44*1000*(H44/1000/((I44/1000/2)^2*PI()))^2/2/9.8*1000,-1)))</f>
      </c>
      <c r="K44" s="51" t="s">
        <v>16</v>
      </c>
      <c r="L44" s="52">
        <v>1000</v>
      </c>
      <c r="M44" s="102"/>
      <c r="N44" s="54">
        <f>IF(N45="","",LOOKUP($I44,$I$5:$I$12,N$5:N$12)*N45)</f>
      </c>
      <c r="O44" s="54">
        <f aca="true" t="shared" si="10" ref="O44:X44">IF(O45="","",LOOKUP($I44,$I$5:$I$12,O$5:O$12)*O45)</f>
      </c>
      <c r="P44" s="54">
        <f t="shared" si="10"/>
      </c>
      <c r="Q44" s="54">
        <f t="shared" si="10"/>
      </c>
      <c r="R44" s="54">
        <f t="shared" si="10"/>
      </c>
      <c r="S44" s="54">
        <f t="shared" si="10"/>
      </c>
      <c r="T44" s="54">
        <f t="shared" si="10"/>
      </c>
      <c r="U44" s="54">
        <f t="shared" si="10"/>
      </c>
      <c r="V44" s="54">
        <f t="shared" si="10"/>
      </c>
      <c r="W44" s="54">
        <f t="shared" si="10"/>
      </c>
      <c r="X44" s="54">
        <f t="shared" si="10"/>
      </c>
      <c r="Y44" s="55" t="s">
        <v>13</v>
      </c>
      <c r="Z44" s="52">
        <v>1.05</v>
      </c>
      <c r="AA44" s="56">
        <f>IF(M44="","",+Z45*J44/1000)</f>
      </c>
      <c r="AB44" s="57">
        <f>IF(M44="","",I44)</f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" customHeight="1">
      <c r="A45" s="98"/>
      <c r="B45" s="59" t="s">
        <v>17</v>
      </c>
      <c r="C45" s="60"/>
      <c r="D45" s="100"/>
      <c r="E45" s="60" t="s">
        <v>13</v>
      </c>
      <c r="F45" s="100">
        <v>1</v>
      </c>
      <c r="G45" s="60"/>
      <c r="H45" s="61" t="s">
        <v>18</v>
      </c>
      <c r="I45" s="62"/>
      <c r="J45" s="129">
        <f>IF(I44="","",IF(I44&gt;50,"ヘーゼン","ウェストン"))</f>
      </c>
      <c r="K45" s="130"/>
      <c r="L45" s="131"/>
      <c r="M45" s="66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68" t="s">
        <v>15</v>
      </c>
      <c r="Z45" s="69">
        <f>IF(B43="","",Y43*Z44)</f>
        <v>0</v>
      </c>
      <c r="AA45" s="70"/>
      <c r="AB45" s="70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" customHeight="1">
      <c r="A46" s="99"/>
      <c r="B46" s="46">
        <v>0.28</v>
      </c>
      <c r="C46" s="47" t="s">
        <v>13</v>
      </c>
      <c r="D46" s="94">
        <f>IF(D48="","",IF(D48&gt;7,D48/10+2,IF(D48&gt;4,(D48-4)/5+2,IF(D48&gt;1,(D48-1)*0.3+1.1,1))))</f>
      </c>
      <c r="E46" s="47" t="s">
        <v>13</v>
      </c>
      <c r="F46" s="94">
        <f>IF(F48="","",F48)</f>
        <v>1</v>
      </c>
      <c r="G46" s="47" t="s">
        <v>13</v>
      </c>
      <c r="H46" s="36">
        <f>IF(D48="","",IF(F46&lt;4,1,IF(F46&lt;11,0.9,IF(F46&lt;21,0.8,IF(F46&lt;31,0.7,IF(F46&lt;41,0.65,IF(F46&lt;61,0.6,IF(F46&lt;81,0.55,0.5))))))))</f>
      </c>
      <c r="I46" s="37"/>
      <c r="J46" s="38"/>
      <c r="K46" s="39"/>
      <c r="L46" s="40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>
        <f>IF(B46="","",SUM(M47:X47))</f>
        <v>0</v>
      </c>
      <c r="Z46" s="43"/>
      <c r="AA46" s="44"/>
      <c r="AB46" s="44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" customHeight="1">
      <c r="A47" s="95" t="s">
        <v>14</v>
      </c>
      <c r="B47" s="46"/>
      <c r="D47" s="47"/>
      <c r="E47" s="47"/>
      <c r="F47" s="47"/>
      <c r="G47" s="47" t="s">
        <v>15</v>
      </c>
      <c r="H47" s="48">
        <f>IF(D48="","",B46*D46*F46*H46)</f>
      </c>
      <c r="I47" s="101"/>
      <c r="J47" s="50">
        <f>IF(I47="","",IF(I47&gt;50,ROUND((10.666*140^-1.85*(I47/1000)^-4.87*(H47/1000)^1.85)*1000,-1),ROUND((0.0126+(0.01739-0.1087*I47/1000)/(SQRT(H47/1000/((I47/1000/2)^2*PI()))))/I47*1000*(H47/1000/((I47/1000/2)^2*PI()))^2/2/9.8*1000,-1)))</f>
      </c>
      <c r="K47" s="51" t="s">
        <v>16</v>
      </c>
      <c r="L47" s="52">
        <v>1000</v>
      </c>
      <c r="M47" s="102"/>
      <c r="N47" s="54">
        <f aca="true" t="shared" si="11" ref="N47:X47">IF(N48="","",LOOKUP($I47,$I$5:$I$12,N$5:N$12)*N48)</f>
      </c>
      <c r="O47" s="54">
        <f t="shared" si="11"/>
      </c>
      <c r="P47" s="54">
        <f t="shared" si="11"/>
      </c>
      <c r="Q47" s="54">
        <f t="shared" si="11"/>
      </c>
      <c r="R47" s="54">
        <f t="shared" si="11"/>
      </c>
      <c r="S47" s="54">
        <f t="shared" si="11"/>
      </c>
      <c r="T47" s="54">
        <f t="shared" si="11"/>
      </c>
      <c r="U47" s="54">
        <f t="shared" si="11"/>
      </c>
      <c r="V47" s="54">
        <f t="shared" si="11"/>
      </c>
      <c r="W47" s="54">
        <f t="shared" si="11"/>
      </c>
      <c r="X47" s="54">
        <f t="shared" si="11"/>
      </c>
      <c r="Y47" s="55" t="s">
        <v>13</v>
      </c>
      <c r="Z47" s="52">
        <v>1.05</v>
      </c>
      <c r="AA47" s="56">
        <f>IF(M47="","",+Z48*J47/1000)</f>
      </c>
      <c r="AB47" s="57">
        <f>IF(M47="","",I47)</f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" customHeight="1">
      <c r="A48" s="98"/>
      <c r="B48" s="59" t="s">
        <v>17</v>
      </c>
      <c r="C48" s="60"/>
      <c r="D48" s="100"/>
      <c r="E48" s="60" t="s">
        <v>13</v>
      </c>
      <c r="F48" s="100">
        <v>1</v>
      </c>
      <c r="G48" s="60"/>
      <c r="H48" s="61" t="s">
        <v>18</v>
      </c>
      <c r="I48" s="62"/>
      <c r="J48" s="129">
        <f>IF(I47="","",IF(I47&gt;50,"ヘーゼン","ウェストン"))</f>
      </c>
      <c r="K48" s="130"/>
      <c r="L48" s="131"/>
      <c r="M48" s="66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68" t="s">
        <v>15</v>
      </c>
      <c r="Z48" s="69">
        <f>IF(B46="","",Y46*Z47)</f>
        <v>0</v>
      </c>
      <c r="AA48" s="70"/>
      <c r="AB48" s="70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" customHeight="1">
      <c r="A49" s="99"/>
      <c r="B49" s="46">
        <v>0.28</v>
      </c>
      <c r="C49" s="35" t="s">
        <v>13</v>
      </c>
      <c r="D49" s="94">
        <f>IF(D51="","",IF(D51&gt;7,D51/10+2,IF(D51&gt;4,(D51-4)/5+2,IF(D51&gt;1,(D51-1)*0.3+1.1,1))))</f>
      </c>
      <c r="E49" s="47" t="s">
        <v>13</v>
      </c>
      <c r="F49" s="94">
        <f>IF(F51="","",F51)</f>
        <v>1</v>
      </c>
      <c r="G49" s="35" t="s">
        <v>13</v>
      </c>
      <c r="H49" s="36">
        <f>IF(D51="","",IF(F49&lt;4,1,IF(F49&lt;11,0.9,IF(F49&lt;21,0.8,IF(F49&lt;31,0.7,IF(F49&lt;41,0.65,IF(F49&lt;61,0.6,IF(F49&lt;81,0.55,0.5))))))))</f>
      </c>
      <c r="I49" s="37"/>
      <c r="J49" s="38"/>
      <c r="K49" s="39"/>
      <c r="L49" s="40"/>
      <c r="M49" s="93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2">
        <f>IF(B49="","",SUM(M50:X50))</f>
        <v>0</v>
      </c>
      <c r="Z49" s="43"/>
      <c r="AA49" s="44"/>
      <c r="AB49" s="44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" customHeight="1">
      <c r="A50" s="95" t="s">
        <v>14</v>
      </c>
      <c r="B50" s="46"/>
      <c r="C50" s="1"/>
      <c r="D50" s="47"/>
      <c r="E50" s="47"/>
      <c r="F50" s="47"/>
      <c r="G50" s="47" t="s">
        <v>15</v>
      </c>
      <c r="H50" s="48">
        <f>IF(D51="","",B49*D49*F49*H49)</f>
      </c>
      <c r="I50" s="101"/>
      <c r="J50" s="50">
        <f>IF(I50="","",IF(I50&gt;50,ROUND((10.666*140^-1.85*(I50/1000)^-4.87*(H50/1000)^1.85)*1000,-1),ROUND((0.0126+(0.01739-0.1087*I50/1000)/(SQRT(H50/1000/((I50/1000/2)^2*PI()))))/I50*1000*(H50/1000/((I50/1000/2)^2*PI()))^2/2/9.8*1000,-1)))</f>
      </c>
      <c r="K50" s="51" t="s">
        <v>16</v>
      </c>
      <c r="L50" s="52">
        <v>1000</v>
      </c>
      <c r="M50" s="102"/>
      <c r="N50" s="54">
        <f aca="true" t="shared" si="12" ref="N50:X50">IF(N51="","",LOOKUP($I50,$I$5:$I$12,N$5:N$12)*N51)</f>
      </c>
      <c r="O50" s="54">
        <f t="shared" si="12"/>
      </c>
      <c r="P50" s="54">
        <f t="shared" si="12"/>
      </c>
      <c r="Q50" s="54">
        <f t="shared" si="12"/>
      </c>
      <c r="R50" s="54">
        <f t="shared" si="12"/>
      </c>
      <c r="S50" s="54">
        <f t="shared" si="12"/>
      </c>
      <c r="T50" s="54">
        <f t="shared" si="12"/>
      </c>
      <c r="U50" s="54">
        <f t="shared" si="12"/>
      </c>
      <c r="V50" s="54">
        <f t="shared" si="12"/>
      </c>
      <c r="W50" s="54">
        <f t="shared" si="12"/>
      </c>
      <c r="X50" s="54">
        <f t="shared" si="12"/>
      </c>
      <c r="Y50" s="55" t="s">
        <v>13</v>
      </c>
      <c r="Z50" s="52">
        <v>1.05</v>
      </c>
      <c r="AA50" s="56">
        <f>IF(M50="","",+Z51*J50/1000)</f>
      </c>
      <c r="AB50" s="57">
        <f>IF(M50="","",I50)</f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" customHeight="1">
      <c r="A51" s="98"/>
      <c r="B51" s="59" t="s">
        <v>17</v>
      </c>
      <c r="C51" s="60"/>
      <c r="D51" s="100"/>
      <c r="E51" s="60" t="s">
        <v>13</v>
      </c>
      <c r="F51" s="100">
        <v>1</v>
      </c>
      <c r="G51" s="60"/>
      <c r="H51" s="61" t="s">
        <v>18</v>
      </c>
      <c r="I51" s="62"/>
      <c r="J51" s="129">
        <f>IF(I50="","",IF(I50&gt;50,"ヘーゼン","ウェストン"))</f>
      </c>
      <c r="K51" s="130"/>
      <c r="L51" s="131"/>
      <c r="M51" s="66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68" t="s">
        <v>15</v>
      </c>
      <c r="Z51" s="69">
        <f>IF(B49="","",Y49*Z50)</f>
        <v>0</v>
      </c>
      <c r="AA51" s="70"/>
      <c r="AB51" s="70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" customHeight="1">
      <c r="A52" s="99"/>
      <c r="B52" s="46">
        <v>0.28</v>
      </c>
      <c r="C52" s="47" t="s">
        <v>13</v>
      </c>
      <c r="D52" s="94">
        <f>IF(D54="","",IF(D54&gt;7,D54/10+2,IF(D54&gt;4,(D54-4)/5+2,IF(D54&gt;1,(D54-1)*0.3+1.1,1))))</f>
      </c>
      <c r="E52" s="47" t="s">
        <v>13</v>
      </c>
      <c r="F52" s="94">
        <f>IF(F54="","",F54)</f>
        <v>1</v>
      </c>
      <c r="G52" s="47" t="s">
        <v>13</v>
      </c>
      <c r="H52" s="36">
        <f>IF(D54="","",IF(F52&lt;4,1,IF(F52&lt;11,0.9,IF(F52&lt;21,0.8,IF(F52&lt;31,0.7,IF(F52&lt;41,0.65,IF(F52&lt;61,0.6,IF(F52&lt;81,0.55,0.5))))))))</f>
      </c>
      <c r="I52" s="84"/>
      <c r="J52" s="85"/>
      <c r="K52" s="51"/>
      <c r="L52" s="86"/>
      <c r="M52" s="87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2">
        <f>IF(B52="","",SUM(M53:X53))</f>
        <v>0</v>
      </c>
      <c r="Z52" s="43"/>
      <c r="AA52" s="44"/>
      <c r="AB52" s="44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" customHeight="1">
      <c r="A53" s="95" t="s">
        <v>14</v>
      </c>
      <c r="B53" s="46"/>
      <c r="D53" s="47"/>
      <c r="E53" s="47"/>
      <c r="F53" s="47"/>
      <c r="G53" s="47" t="s">
        <v>15</v>
      </c>
      <c r="H53" s="48">
        <f>IF(D54="","",B52*D52*F52*H52)</f>
      </c>
      <c r="I53" s="101"/>
      <c r="J53" s="50">
        <f>IF(I53="","",IF(I53&gt;50,ROUND((10.666*140^-1.85*(I53/1000)^-4.87*(H53/1000)^1.85)*1000,-1),ROUND((0.0126+(0.01739-0.1087*I53/1000)/(SQRT(H53/1000/((I53/1000/2)^2*PI()))))/I53*1000*(H53/1000/((I53/1000/2)^2*PI()))^2/2/9.8*1000,-1)))</f>
      </c>
      <c r="K53" s="51" t="s">
        <v>16</v>
      </c>
      <c r="L53" s="52">
        <v>1000</v>
      </c>
      <c r="M53" s="102"/>
      <c r="N53" s="54">
        <f aca="true" t="shared" si="13" ref="N53:X53">IF(N54="","",LOOKUP($I53,$I$5:$I$12,N$5:N$12)*N54)</f>
      </c>
      <c r="O53" s="54">
        <f t="shared" si="13"/>
      </c>
      <c r="P53" s="54">
        <f t="shared" si="13"/>
      </c>
      <c r="Q53" s="54">
        <f t="shared" si="13"/>
      </c>
      <c r="R53" s="54">
        <f t="shared" si="13"/>
      </c>
      <c r="S53" s="54">
        <f t="shared" si="13"/>
      </c>
      <c r="T53" s="54">
        <f t="shared" si="13"/>
      </c>
      <c r="U53" s="54">
        <f t="shared" si="13"/>
      </c>
      <c r="V53" s="54">
        <f t="shared" si="13"/>
      </c>
      <c r="W53" s="54">
        <f t="shared" si="13"/>
      </c>
      <c r="X53" s="54">
        <f t="shared" si="13"/>
      </c>
      <c r="Y53" s="55" t="s">
        <v>13</v>
      </c>
      <c r="Z53" s="52">
        <v>1.05</v>
      </c>
      <c r="AA53" s="56">
        <f>IF(M53="","",+Z54*J53/1000)</f>
      </c>
      <c r="AB53" s="57">
        <f>IF(M53="","",I53)</f>
      </c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" customHeight="1">
      <c r="A54" s="98"/>
      <c r="B54" s="59" t="s">
        <v>17</v>
      </c>
      <c r="C54" s="60"/>
      <c r="D54" s="100"/>
      <c r="E54" s="60" t="s">
        <v>13</v>
      </c>
      <c r="F54" s="100">
        <v>1</v>
      </c>
      <c r="G54" s="60"/>
      <c r="H54" s="61" t="s">
        <v>18</v>
      </c>
      <c r="I54" s="84"/>
      <c r="J54" s="129">
        <f>IF(I53="","",IF(I53&gt;50,"ヘーゼン","ウェストン"))</f>
      </c>
      <c r="K54" s="130"/>
      <c r="L54" s="131"/>
      <c r="M54" s="87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68" t="s">
        <v>15</v>
      </c>
      <c r="Z54" s="69">
        <f>IF(B52="","",Y52*Z53)</f>
        <v>0</v>
      </c>
      <c r="AA54" s="70"/>
      <c r="AB54" s="70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9.5" customHeight="1" hidden="1">
      <c r="A55" s="33"/>
      <c r="B55" s="34"/>
      <c r="C55" s="35"/>
      <c r="D55" s="47"/>
      <c r="E55" s="47"/>
      <c r="F55" s="47"/>
      <c r="G55" s="47"/>
      <c r="H55" s="36"/>
      <c r="I55" s="37"/>
      <c r="J55" s="38"/>
      <c r="K55" s="39"/>
      <c r="L55" s="40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2"/>
      <c r="Z55" s="43"/>
      <c r="AA55" s="44"/>
      <c r="AB55" s="44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9.5" customHeight="1" hidden="1">
      <c r="A56" s="45"/>
      <c r="B56" s="46"/>
      <c r="C56" s="47"/>
      <c r="D56" s="47"/>
      <c r="E56" s="47"/>
      <c r="F56" s="47"/>
      <c r="G56" s="47"/>
      <c r="H56" s="48"/>
      <c r="I56" s="49"/>
      <c r="J56" s="50"/>
      <c r="K56" s="51"/>
      <c r="L56" s="52"/>
      <c r="M56" s="53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2"/>
      <c r="AA56" s="56"/>
      <c r="AB56" s="57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9.5" customHeight="1" hidden="1">
      <c r="A57" s="58"/>
      <c r="B57" s="59"/>
      <c r="C57" s="60"/>
      <c r="D57" s="60"/>
      <c r="E57" s="60"/>
      <c r="F57" s="60"/>
      <c r="G57" s="60"/>
      <c r="H57" s="61"/>
      <c r="I57" s="62"/>
      <c r="J57" s="63"/>
      <c r="K57" s="64"/>
      <c r="L57" s="65"/>
      <c r="M57" s="66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  <c r="Z57" s="69"/>
      <c r="AA57" s="70"/>
      <c r="AB57" s="70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9.5" customHeight="1" hidden="1">
      <c r="A58" s="33"/>
      <c r="B58" s="34"/>
      <c r="C58" s="35"/>
      <c r="D58" s="47"/>
      <c r="E58" s="47"/>
      <c r="F58" s="47"/>
      <c r="G58" s="47"/>
      <c r="H58" s="36"/>
      <c r="I58" s="37"/>
      <c r="J58" s="38"/>
      <c r="K58" s="39"/>
      <c r="L58" s="40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  <c r="Z58" s="43"/>
      <c r="AA58" s="44"/>
      <c r="AB58" s="44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9.5" customHeight="1" hidden="1">
      <c r="A59" s="45"/>
      <c r="B59" s="46"/>
      <c r="C59" s="47"/>
      <c r="D59" s="47"/>
      <c r="E59" s="47"/>
      <c r="F59" s="47"/>
      <c r="G59" s="47"/>
      <c r="H59" s="48"/>
      <c r="I59" s="49"/>
      <c r="J59" s="50"/>
      <c r="K59" s="51"/>
      <c r="L59" s="52"/>
      <c r="M59" s="53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2"/>
      <c r="AA59" s="56"/>
      <c r="AB59" s="57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9.5" customHeight="1" hidden="1">
      <c r="A60" s="58"/>
      <c r="B60" s="59"/>
      <c r="C60" s="60"/>
      <c r="D60" s="60"/>
      <c r="E60" s="60"/>
      <c r="F60" s="60"/>
      <c r="G60" s="60"/>
      <c r="H60" s="61"/>
      <c r="I60" s="62"/>
      <c r="J60" s="63"/>
      <c r="K60" s="64"/>
      <c r="L60" s="65"/>
      <c r="M60" s="66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8"/>
      <c r="Z60" s="69"/>
      <c r="AA60" s="70"/>
      <c r="AB60" s="70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9.5" customHeight="1" hidden="1">
      <c r="A61" s="82"/>
      <c r="B61" s="34"/>
      <c r="C61" s="35"/>
      <c r="D61" s="47"/>
      <c r="E61" s="47"/>
      <c r="F61" s="47"/>
      <c r="G61" s="47"/>
      <c r="H61" s="36"/>
      <c r="I61" s="37"/>
      <c r="J61" s="38"/>
      <c r="K61" s="39"/>
      <c r="L61" s="40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43"/>
      <c r="AA61" s="44"/>
      <c r="AB61" s="44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9.5" customHeight="1" hidden="1">
      <c r="A62" s="45"/>
      <c r="B62" s="46"/>
      <c r="C62" s="47"/>
      <c r="D62" s="47"/>
      <c r="E62" s="47"/>
      <c r="F62" s="47"/>
      <c r="G62" s="47"/>
      <c r="H62" s="48"/>
      <c r="I62" s="49"/>
      <c r="J62" s="50"/>
      <c r="K62" s="51"/>
      <c r="L62" s="52"/>
      <c r="M62" s="53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/>
      <c r="AA62" s="56"/>
      <c r="AB62" s="57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9.5" customHeight="1" hidden="1">
      <c r="A63" s="58"/>
      <c r="B63" s="59"/>
      <c r="C63" s="60"/>
      <c r="D63" s="60"/>
      <c r="E63" s="60"/>
      <c r="F63" s="60"/>
      <c r="G63" s="60"/>
      <c r="H63" s="61"/>
      <c r="I63" s="62"/>
      <c r="J63" s="63"/>
      <c r="K63" s="64"/>
      <c r="L63" s="65"/>
      <c r="M63" s="66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9"/>
      <c r="AA63" s="70"/>
      <c r="AB63" s="70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9.5" customHeight="1" hidden="1">
      <c r="A64" s="82"/>
      <c r="B64" s="34"/>
      <c r="C64" s="35"/>
      <c r="D64" s="47"/>
      <c r="E64" s="47"/>
      <c r="F64" s="47"/>
      <c r="G64" s="47"/>
      <c r="H64" s="36"/>
      <c r="I64" s="37"/>
      <c r="J64" s="38"/>
      <c r="K64" s="39"/>
      <c r="L64" s="40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3"/>
      <c r="AA64" s="44"/>
      <c r="AB64" s="44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9.5" customHeight="1" hidden="1">
      <c r="A65" s="45"/>
      <c r="B65" s="46"/>
      <c r="C65" s="47"/>
      <c r="D65" s="47"/>
      <c r="E65" s="47"/>
      <c r="F65" s="47"/>
      <c r="G65" s="47"/>
      <c r="H65" s="48"/>
      <c r="I65" s="49"/>
      <c r="J65" s="50"/>
      <c r="K65" s="51"/>
      <c r="L65" s="52"/>
      <c r="M65" s="53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2"/>
      <c r="AA65" s="56"/>
      <c r="AB65" s="57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9.5" customHeight="1" hidden="1">
      <c r="A66" s="58"/>
      <c r="B66" s="59"/>
      <c r="C66" s="60"/>
      <c r="D66" s="60"/>
      <c r="E66" s="60"/>
      <c r="F66" s="60"/>
      <c r="G66" s="60"/>
      <c r="H66" s="61"/>
      <c r="I66" s="62"/>
      <c r="J66" s="63"/>
      <c r="K66" s="64"/>
      <c r="L66" s="65"/>
      <c r="M66" s="66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9"/>
      <c r="AA66" s="70"/>
      <c r="AB66" s="70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" customHeight="1">
      <c r="A67" s="71" t="s">
        <v>19</v>
      </c>
      <c r="B67" s="72"/>
      <c r="C67" s="72"/>
      <c r="D67" s="72"/>
      <c r="E67" s="72"/>
      <c r="F67" s="72"/>
      <c r="G67" s="72"/>
      <c r="H67" s="72"/>
      <c r="I67" s="72"/>
      <c r="J67" s="73"/>
      <c r="K67" s="72"/>
      <c r="L67" s="74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5"/>
      <c r="Z67" s="74" t="s">
        <v>20</v>
      </c>
      <c r="AA67" s="106">
        <f>+SUM(AA14:AA63)</f>
        <v>0</v>
      </c>
      <c r="AB67" s="72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" customHeight="1" thickBot="1">
      <c r="A68" s="77" t="s">
        <v>21</v>
      </c>
      <c r="B68" s="76"/>
      <c r="C68" s="77"/>
      <c r="D68" s="76">
        <v>25</v>
      </c>
      <c r="E68" s="77" t="s">
        <v>22</v>
      </c>
      <c r="G68" s="149" t="s">
        <v>22</v>
      </c>
      <c r="H68" s="77">
        <f>H69</f>
        <v>0</v>
      </c>
      <c r="I68" s="81" t="s">
        <v>15</v>
      </c>
      <c r="J68" s="77">
        <f>+D68-H68</f>
        <v>25</v>
      </c>
      <c r="K68" s="77"/>
      <c r="L68" s="81" t="str">
        <f>+IF(J68&lt;O68,"＜",IF(J68&gt;O68,"＞"))</f>
        <v>＞</v>
      </c>
      <c r="M68" s="77" t="s">
        <v>23</v>
      </c>
      <c r="O68" s="79">
        <f>+AA67</f>
        <v>0</v>
      </c>
      <c r="R68" s="91" t="s">
        <v>25</v>
      </c>
      <c r="T68" s="92">
        <f>J68-O68</f>
        <v>25</v>
      </c>
      <c r="W68" s="76"/>
      <c r="X68" s="79"/>
      <c r="Y68" s="80"/>
      <c r="Z68" s="78"/>
      <c r="AA68" s="79"/>
      <c r="AB68" s="77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" customHeight="1" thickBot="1">
      <c r="A69" s="1"/>
      <c r="B69" s="16"/>
      <c r="C69" s="16" t="s">
        <v>31</v>
      </c>
      <c r="E69" s="16"/>
      <c r="H69" s="150"/>
      <c r="I69" s="16" t="s">
        <v>28</v>
      </c>
      <c r="J69" s="17"/>
      <c r="K69" s="16"/>
      <c r="L69" s="18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9"/>
      <c r="Z69" s="18"/>
      <c r="AA69" s="16"/>
      <c r="AB69" s="16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" customHeight="1">
      <c r="A70" s="1"/>
      <c r="B70" s="1"/>
      <c r="C70" s="1" t="s">
        <v>32</v>
      </c>
      <c r="D70" s="1"/>
      <c r="E70" s="1"/>
      <c r="F70" s="1"/>
      <c r="G70" s="1"/>
      <c r="H70" s="1"/>
      <c r="I70" s="1"/>
      <c r="J70" s="6"/>
      <c r="K70" s="1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3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" customHeight="1">
      <c r="A71" s="1"/>
      <c r="B71" s="1"/>
      <c r="C71" s="1"/>
      <c r="D71" s="1"/>
      <c r="E71" s="1"/>
      <c r="F71" s="1"/>
      <c r="G71" s="1"/>
      <c r="H71" s="1"/>
      <c r="I71" s="1"/>
      <c r="J71" s="6"/>
      <c r="K71" s="1"/>
      <c r="L71" s="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3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" customHeight="1">
      <c r="A72" s="1"/>
      <c r="B72" s="1"/>
      <c r="C72" s="1"/>
      <c r="D72" s="1"/>
      <c r="E72" s="1"/>
      <c r="F72" s="1"/>
      <c r="G72" s="1"/>
      <c r="H72" s="1"/>
      <c r="I72" s="1"/>
      <c r="J72" s="6"/>
      <c r="K72" s="1"/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3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" customHeight="1">
      <c r="A73" s="1"/>
      <c r="B73" s="1"/>
      <c r="C73" s="1"/>
      <c r="D73" s="1"/>
      <c r="E73" s="1"/>
      <c r="F73" s="1"/>
      <c r="G73" s="1"/>
      <c r="H73" s="1"/>
      <c r="I73" s="1"/>
      <c r="J73" s="6"/>
      <c r="K73" s="1"/>
      <c r="L73" s="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3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" customHeight="1">
      <c r="A74" s="1"/>
      <c r="B74" s="1"/>
      <c r="C74" s="1"/>
      <c r="D74" s="1"/>
      <c r="E74" s="1"/>
      <c r="F74" s="1"/>
      <c r="G74" s="1"/>
      <c r="H74" s="1"/>
      <c r="I74" s="1"/>
      <c r="J74" s="6"/>
      <c r="K74" s="1"/>
      <c r="L74" s="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3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" customHeight="1">
      <c r="A75" s="1"/>
      <c r="B75" s="1"/>
      <c r="C75" s="1"/>
      <c r="D75" s="1"/>
      <c r="E75" s="1"/>
      <c r="F75" s="1"/>
      <c r="G75" s="1"/>
      <c r="H75" s="1"/>
      <c r="I75" s="1"/>
      <c r="J75" s="6"/>
      <c r="K75" s="1"/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3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3.5">
      <c r="A76" s="1"/>
      <c r="B76" s="1"/>
      <c r="C76" s="1"/>
      <c r="D76" s="1"/>
      <c r="E76" s="1"/>
      <c r="F76" s="1"/>
      <c r="G76" s="1"/>
      <c r="H76" s="1"/>
      <c r="I76" s="1"/>
      <c r="J76" s="6"/>
      <c r="K76" s="1"/>
      <c r="L76" s="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3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3.5">
      <c r="A77" s="1"/>
      <c r="B77" s="1"/>
      <c r="C77" s="1"/>
      <c r="D77" s="1"/>
      <c r="E77" s="1"/>
      <c r="F77" s="1"/>
      <c r="G77" s="1"/>
      <c r="H77" s="1"/>
      <c r="I77" s="1"/>
      <c r="J77" s="6"/>
      <c r="K77" s="1"/>
      <c r="L77" s="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3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.5">
      <c r="A78" s="1"/>
      <c r="B78" s="1"/>
      <c r="C78" s="1"/>
      <c r="D78" s="1"/>
      <c r="E78" s="1"/>
      <c r="F78" s="1"/>
      <c r="G78" s="1"/>
      <c r="H78" s="1"/>
      <c r="I78" s="1"/>
      <c r="J78" s="6"/>
      <c r="K78" s="1"/>
      <c r="L78" s="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3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>
      <c r="A79" s="1"/>
      <c r="B79" s="1"/>
      <c r="C79" s="1"/>
      <c r="D79" s="1"/>
      <c r="E79" s="1"/>
      <c r="F79" s="1"/>
      <c r="G79" s="1"/>
      <c r="H79" s="1"/>
      <c r="I79" s="1"/>
      <c r="J79" s="6"/>
      <c r="K79" s="1"/>
      <c r="L79" s="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3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</sheetData>
  <sheetProtection sheet="1"/>
  <mergeCells count="22">
    <mergeCell ref="J51:L51"/>
    <mergeCell ref="J54:L54"/>
    <mergeCell ref="J33:L33"/>
    <mergeCell ref="J36:L36"/>
    <mergeCell ref="J39:L39"/>
    <mergeCell ref="J42:L42"/>
    <mergeCell ref="J45:L45"/>
    <mergeCell ref="J48:L48"/>
    <mergeCell ref="J24:L24"/>
    <mergeCell ref="J27:L27"/>
    <mergeCell ref="J30:L30"/>
    <mergeCell ref="A5:H12"/>
    <mergeCell ref="Y5:AB12"/>
    <mergeCell ref="J15:L15"/>
    <mergeCell ref="J18:L18"/>
    <mergeCell ref="J21:L21"/>
    <mergeCell ref="M2:Z2"/>
    <mergeCell ref="J2:L4"/>
    <mergeCell ref="B2:H4"/>
    <mergeCell ref="I2:I4"/>
    <mergeCell ref="AA2:AA4"/>
    <mergeCell ref="AB2:AB4"/>
  </mergeCells>
  <dataValidations count="2">
    <dataValidation type="list" allowBlank="1" showInputMessage="1" showErrorMessage="1" sqref="I14 I17 I20 I23 I26 I29 I32 I35 I38 I41 I44 I47 I50 I53">
      <formula1>"13,20,25,30,40,50,75,100"</formula1>
    </dataValidation>
    <dataValidation type="list" allowBlank="1" showInputMessage="1" showErrorMessage="1" sqref="B13 B49 B16 B19 B22 B25 B28 B31 B34 B37 B40 B43 B46 B52">
      <formula1>"0.28,0.67,1.08"</formula1>
    </dataValidation>
  </dataValidations>
  <printOptions horizontalCentered="1" verticalCentered="1"/>
  <pageMargins left="0.1968503937007874" right="0.1968503937007874" top="0" bottom="0" header="0" footer="0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User</cp:lastModifiedBy>
  <cp:lastPrinted>2021-07-26T06:56:21Z</cp:lastPrinted>
  <dcterms:created xsi:type="dcterms:W3CDTF">1998-08-18T04:03:26Z</dcterms:created>
  <dcterms:modified xsi:type="dcterms:W3CDTF">2021-07-26T07:00:39Z</dcterms:modified>
  <cp:category/>
  <cp:version/>
  <cp:contentType/>
  <cp:contentStatus/>
</cp:coreProperties>
</file>